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53222"/>
  <mc:AlternateContent xmlns:mc="http://schemas.openxmlformats.org/markup-compatibility/2006">
    <mc:Choice Requires="x15">
      <x15ac:absPath xmlns:x15ac="http://schemas.microsoft.com/office/spreadsheetml/2010/11/ac" url="C:\Users\marco\Desktop\"/>
    </mc:Choice>
  </mc:AlternateContent>
  <workbookProtection workbookAlgorithmName="SHA-512" workbookHashValue="BCtZIGC4Af0lgDICeHWeauseaoFK5cMrGx0db3d8ESkHQwT/+wh+pK65rINfiPOKTchwYOid1NFK/EikeYcv/A==" workbookSaltValue="BoDL77teMA6+4v4xldMUNA==" workbookSpinCount="100000" lockStructure="1"/>
  <bookViews>
    <workbookView xWindow="0" yWindow="0" windowWidth="20490" windowHeight="7755"/>
  </bookViews>
  <sheets>
    <sheet name="Pump1" sheetId="1" r:id="rId1"/>
    <sheet name="Calculations" sheetId="2"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 l="1"/>
  <c r="G23" i="1" l="1"/>
  <c r="W27" i="1" l="1"/>
  <c r="M36" i="1" l="1"/>
  <c r="M35" i="1"/>
  <c r="M34" i="1"/>
  <c r="M33" i="1"/>
  <c r="R29" i="1"/>
  <c r="W29" i="1"/>
  <c r="M29" i="1"/>
  <c r="R30" i="1"/>
  <c r="W30" i="1"/>
  <c r="M30" i="1"/>
  <c r="R27" i="1"/>
  <c r="M27" i="1"/>
  <c r="W28" i="1"/>
  <c r="R28" i="1"/>
  <c r="M28" i="1"/>
  <c r="W31" i="1" l="1"/>
  <c r="R31" i="1"/>
  <c r="M31" i="1"/>
  <c r="W33" i="1" s="1"/>
  <c r="W35" i="1" s="1"/>
  <c r="W37" i="1" s="1"/>
  <c r="M37" i="1"/>
  <c r="W39" i="1" l="1"/>
  <c r="R40" i="1"/>
  <c r="M41" i="1" s="1"/>
  <c r="W40" i="1"/>
  <c r="M39" i="1"/>
  <c r="M40" i="1"/>
  <c r="R39" i="1"/>
  <c r="M44" i="1" l="1"/>
  <c r="W44" i="1" s="1"/>
  <c r="M46" i="1" s="1"/>
  <c r="M47" i="1" s="1"/>
  <c r="D20" i="2"/>
  <c r="D21" i="2" s="1"/>
  <c r="W45" i="1"/>
  <c r="M45" i="1"/>
  <c r="M42" i="1"/>
  <c r="W46" i="1" l="1"/>
  <c r="W47" i="1" s="1"/>
</calcChain>
</file>

<file path=xl/comments1.xml><?xml version="1.0" encoding="utf-8"?>
<comments xmlns="http://schemas.openxmlformats.org/spreadsheetml/2006/main">
  <authors>
    <author>marco</author>
  </authors>
  <commentList>
    <comment ref="X7" authorId="0" shapeId="0">
      <text>
        <r>
          <rPr>
            <b/>
            <sz val="9"/>
            <color indexed="81"/>
            <rFont val="Tahoma"/>
            <family val="2"/>
          </rPr>
          <t>Marco:</t>
        </r>
        <r>
          <rPr>
            <sz val="9"/>
            <color indexed="81"/>
            <rFont val="Tahoma"/>
            <family val="2"/>
          </rPr>
          <t xml:space="preserve">
This is the pressure at battery limit, arrival point of the fluid. This is the pressure value that the fluid still need after all the pressure drops, for example, to enter in a vessel mantained at this static pressure.</t>
        </r>
      </text>
    </comment>
    <comment ref="N13" authorId="0" shapeId="0">
      <text>
        <r>
          <rPr>
            <b/>
            <sz val="9"/>
            <color indexed="81"/>
            <rFont val="Tahoma"/>
            <family val="2"/>
          </rPr>
          <t>Marco:</t>
        </r>
        <r>
          <rPr>
            <sz val="9"/>
            <color indexed="81"/>
            <rFont val="Tahoma"/>
            <family val="2"/>
          </rPr>
          <t xml:space="preserve">
Suggested values: 0.25 - 0.5 bar</t>
        </r>
      </text>
    </comment>
    <comment ref="V16" authorId="0" shapeId="0">
      <text>
        <r>
          <rPr>
            <b/>
            <sz val="9"/>
            <color indexed="81"/>
            <rFont val="Tahoma"/>
            <family val="2"/>
          </rPr>
          <t>Marco:</t>
        </r>
        <r>
          <rPr>
            <sz val="9"/>
            <color indexed="81"/>
            <rFont val="Tahoma"/>
            <family val="2"/>
          </rPr>
          <t xml:space="preserve">
Maximum delivery height, starting from ground (the program subtracts the centerline elevation during calculation)</t>
        </r>
      </text>
    </comment>
    <comment ref="M18" authorId="0" shapeId="0">
      <text>
        <r>
          <rPr>
            <b/>
            <sz val="9"/>
            <color indexed="81"/>
            <rFont val="Tahoma"/>
            <family val="2"/>
          </rPr>
          <t>Marco:</t>
        </r>
        <r>
          <rPr>
            <sz val="9"/>
            <color indexed="81"/>
            <rFont val="Tahoma"/>
            <family val="2"/>
          </rPr>
          <t xml:space="preserve">
Suggested values: 0.05 - 0.1 bar</t>
        </r>
      </text>
    </comment>
    <comment ref="Y21" authorId="0" shapeId="0">
      <text>
        <r>
          <rPr>
            <b/>
            <sz val="9"/>
            <color indexed="81"/>
            <rFont val="Tahoma"/>
            <family val="2"/>
          </rPr>
          <t>Marco:</t>
        </r>
        <r>
          <rPr>
            <sz val="9"/>
            <color indexed="81"/>
            <rFont val="Tahoma"/>
            <family val="2"/>
          </rPr>
          <t xml:space="preserve">
Minimum 0.6 m.</t>
        </r>
      </text>
    </comment>
    <comment ref="G22" authorId="0" shapeId="0">
      <text>
        <r>
          <rPr>
            <b/>
            <sz val="9"/>
            <color indexed="81"/>
            <rFont val="Tahoma"/>
            <family val="2"/>
          </rPr>
          <t>Marco:</t>
        </r>
        <r>
          <rPr>
            <sz val="9"/>
            <color indexed="81"/>
            <rFont val="Tahoma"/>
            <family val="2"/>
          </rPr>
          <t xml:space="preserve">
120% is suggested for motor driven pumps, 140% for turbine driven pumps</t>
        </r>
      </text>
    </comment>
    <comment ref="P24" authorId="0" shapeId="0">
      <text>
        <r>
          <rPr>
            <b/>
            <sz val="9"/>
            <color indexed="81"/>
            <rFont val="Tahoma"/>
            <family val="2"/>
          </rPr>
          <t>Marco:</t>
        </r>
        <r>
          <rPr>
            <sz val="9"/>
            <color indexed="81"/>
            <rFont val="Tahoma"/>
            <family val="2"/>
          </rPr>
          <t xml:space="preserve">
10% minimum overdesign on flow is suggested.</t>
        </r>
      </text>
    </comment>
    <comment ref="R33" authorId="0" shapeId="0">
      <text>
        <r>
          <rPr>
            <b/>
            <sz val="9"/>
            <color indexed="81"/>
            <rFont val="Tahoma"/>
            <family val="2"/>
          </rPr>
          <t>Marco:</t>
        </r>
        <r>
          <rPr>
            <sz val="9"/>
            <color indexed="81"/>
            <rFont val="Tahoma"/>
            <family val="2"/>
          </rPr>
          <t xml:space="preserve">
This is the lowest suction pressure that it is possible with these conditions.</t>
        </r>
      </text>
    </comment>
    <comment ref="W35" authorId="0" shapeId="0">
      <text>
        <r>
          <rPr>
            <b/>
            <sz val="9"/>
            <color indexed="81"/>
            <rFont val="Tahoma"/>
            <family val="2"/>
          </rPr>
          <t>Marco:</t>
        </r>
        <r>
          <rPr>
            <sz val="9"/>
            <color indexed="81"/>
            <rFont val="Tahoma"/>
            <family val="2"/>
          </rPr>
          <t xml:space="preserve">
This is not the API 610 margin. Usually, following API code, vendors shall subtract 1  meter more from this value.</t>
        </r>
      </text>
    </comment>
    <comment ref="M39" authorId="0" shapeId="0">
      <text>
        <r>
          <rPr>
            <b/>
            <sz val="9"/>
            <color indexed="81"/>
            <rFont val="Tahoma"/>
            <family val="2"/>
          </rPr>
          <t>Marco:</t>
        </r>
        <r>
          <rPr>
            <sz val="9"/>
            <color indexed="81"/>
            <rFont val="Tahoma"/>
            <family val="2"/>
          </rPr>
          <t xml:space="preserve">
Maximum head that the pump shall provide for the service.</t>
        </r>
      </text>
    </comment>
    <comment ref="M40" authorId="0" shapeId="0">
      <text>
        <r>
          <rPr>
            <b/>
            <sz val="9"/>
            <color indexed="81"/>
            <rFont val="Tahoma"/>
            <family val="2"/>
          </rPr>
          <t>Marco:</t>
        </r>
        <r>
          <rPr>
            <sz val="9"/>
            <color indexed="81"/>
            <rFont val="Tahoma"/>
            <family val="2"/>
          </rPr>
          <t xml:space="preserve">
Maximum DP the pump shall provide for the service.</t>
        </r>
      </text>
    </comment>
    <comment ref="R42" authorId="0" shapeId="0">
      <text>
        <r>
          <rPr>
            <b/>
            <sz val="9"/>
            <color indexed="81"/>
            <rFont val="Tahoma"/>
            <family val="2"/>
          </rPr>
          <t>Marco:</t>
        </r>
        <r>
          <rPr>
            <sz val="9"/>
            <color indexed="81"/>
            <rFont val="Tahoma"/>
            <family val="2"/>
          </rPr>
          <t xml:space="preserve">
In case of discharge control valve closed and maximum suction operating pressure (PSV set). This value is the maximum value that the discharge line shall sustain.</t>
        </r>
      </text>
    </comment>
    <comment ref="M44" authorId="0" shapeId="0">
      <text>
        <r>
          <rPr>
            <b/>
            <sz val="9"/>
            <color indexed="81"/>
            <rFont val="Tahoma"/>
            <charset val="1"/>
          </rPr>
          <t>Marco:</t>
        </r>
        <r>
          <rPr>
            <sz val="9"/>
            <color indexed="81"/>
            <rFont val="Tahoma"/>
            <charset val="1"/>
          </rPr>
          <t xml:space="preserve">
It is calculated at the design value. It is only a preliminary value. Correlation is based on experience, and can be considered valid up to 400 m head.</t>
        </r>
      </text>
    </comment>
    <comment ref="R45" authorId="0" shapeId="0">
      <text>
        <r>
          <rPr>
            <b/>
            <sz val="9"/>
            <color indexed="81"/>
            <rFont val="Tahoma"/>
            <family val="2"/>
          </rPr>
          <t>Marco:</t>
        </r>
        <r>
          <rPr>
            <sz val="9"/>
            <color indexed="81"/>
            <rFont val="Tahoma"/>
            <family val="2"/>
          </rPr>
          <t xml:space="preserve">
Includes overdesign margin.</t>
        </r>
      </text>
    </comment>
    <comment ref="R46" authorId="0" shapeId="0">
      <text>
        <r>
          <rPr>
            <b/>
            <sz val="9"/>
            <color indexed="81"/>
            <rFont val="Tahoma"/>
            <family val="2"/>
          </rPr>
          <t>Marco:</t>
        </r>
        <r>
          <rPr>
            <sz val="9"/>
            <color indexed="81"/>
            <rFont val="Tahoma"/>
            <family val="2"/>
          </rPr>
          <t xml:space="preserve">
Includes overdesign margin.</t>
        </r>
      </text>
    </comment>
    <comment ref="R47" authorId="0" shapeId="0">
      <text>
        <r>
          <rPr>
            <b/>
            <sz val="9"/>
            <color indexed="81"/>
            <rFont val="Tahoma"/>
            <family val="2"/>
          </rPr>
          <t>Marco:</t>
        </r>
        <r>
          <rPr>
            <sz val="9"/>
            <color indexed="81"/>
            <rFont val="Tahoma"/>
            <family val="2"/>
          </rPr>
          <t xml:space="preserve">
Includes overdesign margin.</t>
        </r>
      </text>
    </comment>
  </commentList>
</comments>
</file>

<file path=xl/sharedStrings.xml><?xml version="1.0" encoding="utf-8"?>
<sst xmlns="http://schemas.openxmlformats.org/spreadsheetml/2006/main" count="90" uniqueCount="72">
  <si>
    <t>PUMP CALCULATION SHEET</t>
  </si>
  <si>
    <t>ITEM</t>
  </si>
  <si>
    <t>SERVICE</t>
  </si>
  <si>
    <t>PSV set (barg)</t>
  </si>
  <si>
    <t>Elevation (m)</t>
  </si>
  <si>
    <t>JOB</t>
  </si>
  <si>
    <t>T.L. elev. (m)</t>
  </si>
  <si>
    <t>Op. pressure (bara)</t>
  </si>
  <si>
    <t>Strainer DP (bar)</t>
  </si>
  <si>
    <t>FE DeltaP (bar)</t>
  </si>
  <si>
    <t>DeltaP Eq. (bar)</t>
  </si>
  <si>
    <t>P @B.L. (bara)</t>
  </si>
  <si>
    <t>HLL</t>
  </si>
  <si>
    <t>Levels (m)</t>
  </si>
  <si>
    <t>NLL</t>
  </si>
  <si>
    <t xml:space="preserve">LLL </t>
  </si>
  <si>
    <t>Other info</t>
  </si>
  <si>
    <t>Atm P (bara)</t>
  </si>
  <si>
    <t>Fluid density (kg/m3)</t>
  </si>
  <si>
    <t>Fluid viscosity (cp)</t>
  </si>
  <si>
    <t>Flowrate (m3/h)</t>
  </si>
  <si>
    <t>Pump centerline (m)</t>
  </si>
  <si>
    <t>Valve DP (bar)</t>
  </si>
  <si>
    <t>Operating pressure</t>
  </si>
  <si>
    <t>bara</t>
  </si>
  <si>
    <t>Line losses (bar)</t>
  </si>
  <si>
    <t>CALCULATION</t>
  </si>
  <si>
    <t>Inlet line DN (mm)</t>
  </si>
  <si>
    <t>Outlet line DN (mm)</t>
  </si>
  <si>
    <t>NORMAL</t>
  </si>
  <si>
    <t>MAX</t>
  </si>
  <si>
    <t>Shut-off %</t>
  </si>
  <si>
    <t>MINIMUM</t>
  </si>
  <si>
    <t>Vapour P. (bara)</t>
  </si>
  <si>
    <t>DeltaP line + strainer</t>
  </si>
  <si>
    <t>Liquid level</t>
  </si>
  <si>
    <t>T.L. - Centerline</t>
  </si>
  <si>
    <t>SUCTION PRESSURE</t>
  </si>
  <si>
    <t>Battery limit pressure</t>
  </si>
  <si>
    <t>SUCTION</t>
  </si>
  <si>
    <t>DISCHARGE</t>
  </si>
  <si>
    <t>DeltaP eq+line losses</t>
  </si>
  <si>
    <t>Elevation - Centerline</t>
  </si>
  <si>
    <t>Flow overdesign</t>
  </si>
  <si>
    <t>DP Control valve + FE</t>
  </si>
  <si>
    <t>DISCHARGE PRESSURE</t>
  </si>
  <si>
    <t>NPSHa</t>
  </si>
  <si>
    <t>Min. suction pressure (bara)</t>
  </si>
  <si>
    <t>NPSHa - 1, calculated, m</t>
  </si>
  <si>
    <t>NPSHa, m</t>
  </si>
  <si>
    <t>HEAD AND OTHER</t>
  </si>
  <si>
    <t>m</t>
  </si>
  <si>
    <t>Pump DeltaP</t>
  </si>
  <si>
    <t>bar</t>
  </si>
  <si>
    <t>Max working pressure</t>
  </si>
  <si>
    <t>SHUT-OFF AT NORMAL OP.</t>
  </si>
  <si>
    <t>SHUT-OFF WITH MAX SUCTION</t>
  </si>
  <si>
    <t>kW</t>
  </si>
  <si>
    <t>POWER</t>
  </si>
  <si>
    <t>Design, kW</t>
  </si>
  <si>
    <t>Hydraulic power, normal</t>
  </si>
  <si>
    <t>API 610 motor overdesign</t>
  </si>
  <si>
    <t>Brake power, normal</t>
  </si>
  <si>
    <t>Head (in liquid column)</t>
  </si>
  <si>
    <t>Efficiency calculated</t>
  </si>
  <si>
    <t>%</t>
  </si>
  <si>
    <t>Selected %</t>
  </si>
  <si>
    <t>PREV</t>
  </si>
  <si>
    <t>FLOW</t>
  </si>
  <si>
    <t>Indice flow</t>
  </si>
  <si>
    <t>Indice H</t>
  </si>
  <si>
    <t>Valore indice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</si>
</sst>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
  </numFmts>
  <fonts count="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rgb="FFFF000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8">
    <xf numFmtId="0" fontId="0" fillId="0" borderId="0" xfId="0"/>
    <xf numFmtId="0" fontId="2" fillId="3" borderId="0" xfId="0" applyFont="1" applyFill="1" applyBorder="1"/>
    <xf numFmtId="0" fontId="2" fillId="3" borderId="5" xfId="0" applyFont="1" applyFill="1" applyBorder="1"/>
    <xf numFmtId="0" fontId="2" fillId="3" borderId="4"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1" xfId="0" applyFont="1" applyFill="1" applyBorder="1"/>
    <xf numFmtId="0" fontId="2" fillId="3" borderId="2" xfId="0" applyFont="1" applyFill="1" applyBorder="1"/>
    <xf numFmtId="0" fontId="2" fillId="3" borderId="9" xfId="0" applyFont="1" applyFill="1" applyBorder="1"/>
    <xf numFmtId="0" fontId="2" fillId="3" borderId="10" xfId="0" applyFont="1" applyFill="1" applyBorder="1"/>
    <xf numFmtId="0" fontId="2" fillId="3" borderId="3" xfId="0" applyFont="1" applyFill="1" applyBorder="1"/>
    <xf numFmtId="0" fontId="2" fillId="0" borderId="0" xfId="0" applyFont="1"/>
    <xf numFmtId="0" fontId="2" fillId="0" borderId="10" xfId="0" applyFont="1" applyBorder="1"/>
    <xf numFmtId="0" fontId="2" fillId="0" borderId="0" xfId="0" applyFont="1" applyBorder="1"/>
    <xf numFmtId="0" fontId="0" fillId="0" borderId="12" xfId="0" applyBorder="1"/>
    <xf numFmtId="0" fontId="1" fillId="0" borderId="12" xfId="0" applyFont="1" applyBorder="1"/>
    <xf numFmtId="0" fontId="0" fillId="0" borderId="0" xfId="0" applyFont="1"/>
    <xf numFmtId="0" fontId="1" fillId="5" borderId="12" xfId="0" applyFont="1" applyFill="1" applyBorder="1"/>
    <xf numFmtId="0" fontId="0" fillId="5" borderId="0" xfId="0" applyFill="1"/>
    <xf numFmtId="0" fontId="0" fillId="5" borderId="12" xfId="0" applyFill="1" applyBorder="1"/>
    <xf numFmtId="0" fontId="1" fillId="5" borderId="13" xfId="0" applyFont="1" applyFill="1" applyBorder="1"/>
    <xf numFmtId="0" fontId="0" fillId="0" borderId="12" xfId="0" applyFill="1" applyBorder="1"/>
    <xf numFmtId="2" fontId="3" fillId="4" borderId="9" xfId="0" applyNumberFormat="1" applyFont="1" applyFill="1" applyBorder="1" applyAlignment="1">
      <alignment horizontal="center"/>
    </xf>
    <xf numFmtId="2" fontId="3" fillId="4" borderId="10" xfId="0" applyNumberFormat="1" applyFont="1" applyFill="1" applyBorder="1" applyAlignment="1">
      <alignment horizontal="center"/>
    </xf>
    <xf numFmtId="2" fontId="3" fillId="4" borderId="11" xfId="0" applyNumberFormat="1" applyFont="1" applyFill="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0" fontId="2" fillId="0" borderId="10" xfId="0" applyFont="1" applyBorder="1" applyAlignment="1">
      <alignment horizontal="right"/>
    </xf>
    <xf numFmtId="0" fontId="2" fillId="0" borderId="11" xfId="0" applyFont="1" applyBorder="1" applyAlignment="1">
      <alignment horizontal="right"/>
    </xf>
    <xf numFmtId="2" fontId="2" fillId="0" borderId="9" xfId="0" applyNumberFormat="1" applyFont="1" applyBorder="1" applyAlignment="1">
      <alignment horizontal="center"/>
    </xf>
    <xf numFmtId="2" fontId="2" fillId="0" borderId="10" xfId="0" applyNumberFormat="1" applyFont="1" applyBorder="1" applyAlignment="1">
      <alignment horizontal="center"/>
    </xf>
    <xf numFmtId="2" fontId="2" fillId="0" borderId="11" xfId="0" applyNumberFormat="1" applyFont="1" applyBorder="1" applyAlignment="1">
      <alignment horizontal="center"/>
    </xf>
    <xf numFmtId="2" fontId="2" fillId="0" borderId="9" xfId="0" applyNumberFormat="1" applyFont="1" applyBorder="1" applyAlignment="1">
      <alignment horizontal="right"/>
    </xf>
    <xf numFmtId="2" fontId="2" fillId="0" borderId="10" xfId="0" applyNumberFormat="1" applyFont="1" applyBorder="1" applyAlignment="1">
      <alignment horizontal="right"/>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166" fontId="2" fillId="2" borderId="10" xfId="0" applyNumberFormat="1" applyFont="1" applyFill="1" applyBorder="1" applyAlignment="1">
      <alignment horizontal="center"/>
    </xf>
    <xf numFmtId="166" fontId="2" fillId="2" borderId="11" xfId="0" applyNumberFormat="1" applyFont="1" applyFill="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2" fillId="0" borderId="1" xfId="0" applyFont="1" applyBorder="1" applyAlignment="1">
      <alignment horizontal="right" wrapText="1"/>
    </xf>
    <xf numFmtId="0" fontId="2" fillId="0" borderId="2" xfId="0" applyFont="1" applyBorder="1" applyAlignment="1">
      <alignment horizontal="right" wrapText="1"/>
    </xf>
    <xf numFmtId="0" fontId="2" fillId="0" borderId="3" xfId="0" applyFont="1" applyBorder="1" applyAlignment="1">
      <alignment horizontal="right" wrapText="1"/>
    </xf>
    <xf numFmtId="0" fontId="2" fillId="0" borderId="6" xfId="0" applyFont="1" applyBorder="1" applyAlignment="1">
      <alignment horizontal="right" wrapText="1"/>
    </xf>
    <xf numFmtId="0" fontId="2" fillId="0" borderId="7" xfId="0" applyFont="1" applyBorder="1" applyAlignment="1">
      <alignment horizontal="right" wrapText="1"/>
    </xf>
    <xf numFmtId="0" fontId="2" fillId="0" borderId="8" xfId="0" applyFont="1" applyBorder="1" applyAlignment="1">
      <alignment horizontal="right" wrapText="1"/>
    </xf>
    <xf numFmtId="0" fontId="2" fillId="0" borderId="1" xfId="0" applyFont="1" applyBorder="1" applyAlignment="1">
      <alignment horizontal="left"/>
    </xf>
    <xf numFmtId="0" fontId="2" fillId="0" borderId="2" xfId="0" applyFont="1" applyBorder="1" applyAlignment="1">
      <alignment horizontal="left"/>
    </xf>
    <xf numFmtId="0" fontId="3" fillId="4" borderId="10" xfId="0" applyFont="1" applyFill="1" applyBorder="1" applyAlignment="1">
      <alignment horizontal="right"/>
    </xf>
    <xf numFmtId="0" fontId="3" fillId="4" borderId="11" xfId="0" applyFont="1" applyFill="1" applyBorder="1" applyAlignment="1">
      <alignment horizontal="right"/>
    </xf>
    <xf numFmtId="0" fontId="3" fillId="4" borderId="9" xfId="0" applyFont="1" applyFill="1" applyBorder="1" applyAlignment="1">
      <alignment horizontal="left"/>
    </xf>
    <xf numFmtId="0" fontId="3" fillId="4" borderId="10" xfId="0" applyFont="1" applyFill="1" applyBorder="1" applyAlignment="1">
      <alignment horizontal="left"/>
    </xf>
    <xf numFmtId="165" fontId="2" fillId="0" borderId="9" xfId="0" applyNumberFormat="1" applyFont="1" applyBorder="1" applyAlignment="1">
      <alignment horizontal="center"/>
    </xf>
    <xf numFmtId="165" fontId="2" fillId="0" borderId="10" xfId="0" applyNumberFormat="1" applyFont="1" applyBorder="1" applyAlignment="1">
      <alignment horizontal="center"/>
    </xf>
    <xf numFmtId="165" fontId="2" fillId="0" borderId="11" xfId="0" applyNumberFormat="1" applyFont="1" applyBorder="1" applyAlignment="1">
      <alignment horizontal="center"/>
    </xf>
    <xf numFmtId="0" fontId="2" fillId="0" borderId="7" xfId="0" applyFont="1" applyBorder="1" applyAlignment="1">
      <alignment horizontal="right"/>
    </xf>
    <xf numFmtId="0" fontId="2" fillId="0" borderId="8" xfId="0" applyFont="1" applyBorder="1"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2" fontId="2" fillId="0" borderId="1"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6"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8" xfId="0" applyNumberFormat="1" applyFont="1" applyBorder="1" applyAlignment="1">
      <alignment horizontal="center" vertical="center"/>
    </xf>
    <xf numFmtId="164" fontId="2" fillId="0" borderId="9" xfId="0" applyNumberFormat="1" applyFont="1" applyBorder="1" applyAlignment="1">
      <alignment horizontal="center"/>
    </xf>
    <xf numFmtId="164" fontId="2" fillId="0" borderId="10" xfId="0" applyNumberFormat="1" applyFont="1" applyBorder="1" applyAlignment="1">
      <alignment horizontal="center"/>
    </xf>
    <xf numFmtId="164" fontId="2" fillId="0" borderId="11" xfId="0" applyNumberFormat="1" applyFont="1" applyBorder="1" applyAlignment="1">
      <alignment horizontal="center"/>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3" fillId="4" borderId="9" xfId="0"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10" fontId="2" fillId="2" borderId="10" xfId="0" applyNumberFormat="1" applyFont="1" applyFill="1" applyBorder="1" applyAlignment="1">
      <alignment horizontal="center"/>
    </xf>
    <xf numFmtId="10" fontId="2" fillId="2" borderId="11" xfId="0" applyNumberFormat="1"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10" fontId="2" fillId="0" borderId="9" xfId="0" applyNumberFormat="1" applyFont="1" applyBorder="1" applyAlignment="1">
      <alignment horizontal="center"/>
    </xf>
    <xf numFmtId="10" fontId="2" fillId="0" borderId="10" xfId="0" applyNumberFormat="1" applyFont="1" applyBorder="1" applyAlignment="1">
      <alignment horizontal="center"/>
    </xf>
    <xf numFmtId="10" fontId="2" fillId="0" borderId="11" xfId="0" applyNumberFormat="1" applyFont="1" applyBorder="1" applyAlignment="1">
      <alignment horizontal="center"/>
    </xf>
    <xf numFmtId="10" fontId="2" fillId="2" borderId="9" xfId="0" applyNumberFormat="1"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112100</xdr:colOff>
      <xdr:row>5</xdr:row>
      <xdr:rowOff>41735</xdr:rowOff>
    </xdr:from>
    <xdr:to>
      <xdr:col>26</xdr:col>
      <xdr:colOff>119062</xdr:colOff>
      <xdr:row>15</xdr:row>
      <xdr:rowOff>97971</xdr:rowOff>
    </xdr:to>
    <xdr:grpSp>
      <xdr:nvGrpSpPr>
        <xdr:cNvPr id="69" name="Gruppo 68"/>
        <xdr:cNvGrpSpPr/>
      </xdr:nvGrpSpPr>
      <xdr:grpSpPr>
        <a:xfrm>
          <a:off x="1064600" y="994235"/>
          <a:ext cx="4007462" cy="1961236"/>
          <a:chOff x="731225" y="1794335"/>
          <a:chExt cx="4007462" cy="1961236"/>
        </a:xfrm>
      </xdr:grpSpPr>
      <xdr:grpSp>
        <xdr:nvGrpSpPr>
          <xdr:cNvPr id="40" name="Gruppo 39"/>
          <xdr:cNvGrpSpPr/>
        </xdr:nvGrpSpPr>
        <xdr:grpSpPr>
          <a:xfrm>
            <a:off x="2072821" y="3505200"/>
            <a:ext cx="312964" cy="250371"/>
            <a:chOff x="2072821" y="3505200"/>
            <a:chExt cx="312964" cy="250371"/>
          </a:xfrm>
        </xdr:grpSpPr>
        <xdr:sp macro="" textlink="">
          <xdr:nvSpPr>
            <xdr:cNvPr id="39" name="Triangolo isoscele 38"/>
            <xdr:cNvSpPr/>
          </xdr:nvSpPr>
          <xdr:spPr>
            <a:xfrm>
              <a:off x="2072821" y="3614964"/>
              <a:ext cx="312964" cy="14060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30" name="Ovale 29"/>
            <xdr:cNvSpPr/>
          </xdr:nvSpPr>
          <xdr:spPr>
            <a:xfrm>
              <a:off x="2127250" y="3505200"/>
              <a:ext cx="196850" cy="19685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grpSp>
      <xdr:grpSp>
        <xdr:nvGrpSpPr>
          <xdr:cNvPr id="5" name="Gruppo 4"/>
          <xdr:cNvGrpSpPr/>
        </xdr:nvGrpSpPr>
        <xdr:grpSpPr>
          <a:xfrm>
            <a:off x="731225" y="2014906"/>
            <a:ext cx="704853" cy="1192824"/>
            <a:chOff x="731225" y="2014906"/>
            <a:chExt cx="704853" cy="1192824"/>
          </a:xfrm>
        </xdr:grpSpPr>
        <xdr:sp macro="" textlink="">
          <xdr:nvSpPr>
            <xdr:cNvPr id="3" name="Ovale 2"/>
            <xdr:cNvSpPr/>
          </xdr:nvSpPr>
          <xdr:spPr>
            <a:xfrm>
              <a:off x="740019" y="2014906"/>
              <a:ext cx="696058" cy="31505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4" name="Ovale 3"/>
            <xdr:cNvSpPr/>
          </xdr:nvSpPr>
          <xdr:spPr>
            <a:xfrm>
              <a:off x="731225" y="2892673"/>
              <a:ext cx="696058" cy="31505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2" name="Rettangolo 1"/>
            <xdr:cNvSpPr/>
          </xdr:nvSpPr>
          <xdr:spPr>
            <a:xfrm>
              <a:off x="732693" y="2168772"/>
              <a:ext cx="703385" cy="8792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grpSp>
      <xdr:cxnSp macro="">
        <xdr:nvCxnSpPr>
          <xdr:cNvPr id="7" name="Connettore 2 6"/>
          <xdr:cNvCxnSpPr>
            <a:stCxn id="4" idx="4"/>
          </xdr:cNvCxnSpPr>
        </xdr:nvCxnSpPr>
        <xdr:spPr>
          <a:xfrm flipH="1">
            <a:off x="1069731" y="3207730"/>
            <a:ext cx="9523" cy="404443"/>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4" name="Gruppo 13"/>
          <xdr:cNvGrpSpPr/>
        </xdr:nvGrpSpPr>
        <xdr:grpSpPr>
          <a:xfrm>
            <a:off x="1251855" y="1794335"/>
            <a:ext cx="281215" cy="254064"/>
            <a:chOff x="2453820" y="2420263"/>
            <a:chExt cx="281215" cy="254064"/>
          </a:xfrm>
        </xdr:grpSpPr>
        <xdr:cxnSp macro="">
          <xdr:nvCxnSpPr>
            <xdr:cNvPr id="9" name="Connettore 1 8"/>
            <xdr:cNvCxnSpPr/>
          </xdr:nvCxnSpPr>
          <xdr:spPr>
            <a:xfrm flipV="1">
              <a:off x="2505808" y="2527788"/>
              <a:ext cx="0" cy="146539"/>
            </a:xfrm>
            <a:prstGeom prst="line">
              <a:avLst/>
            </a:prstGeom>
            <a:ln w="12700">
              <a:solidFill>
                <a:schemeClr val="accent5"/>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Triangolo isoscele 9"/>
            <xdr:cNvSpPr/>
          </xdr:nvSpPr>
          <xdr:spPr>
            <a:xfrm>
              <a:off x="2453820" y="2453823"/>
              <a:ext cx="104322" cy="68036"/>
            </a:xfrm>
            <a:prstGeom prst="triangle">
              <a:avLst/>
            </a:prstGeom>
            <a:solidFill>
              <a:schemeClr val="bg1"/>
            </a:solidFill>
            <a:scene3d>
              <a:camera prst="orthographicFront">
                <a:rot lat="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11" name="Triangolo isoscele 10"/>
            <xdr:cNvSpPr/>
          </xdr:nvSpPr>
          <xdr:spPr>
            <a:xfrm>
              <a:off x="2488286" y="2420263"/>
              <a:ext cx="104322" cy="68036"/>
            </a:xfrm>
            <a:prstGeom prst="triangle">
              <a:avLst/>
            </a:prstGeom>
            <a:solidFill>
              <a:schemeClr val="bg1"/>
            </a:solidFill>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xnSp macro="">
          <xdr:nvCxnSpPr>
            <xdr:cNvPr id="13" name="Connettore 2 12"/>
            <xdr:cNvCxnSpPr/>
          </xdr:nvCxnSpPr>
          <xdr:spPr>
            <a:xfrm>
              <a:off x="2571750" y="2449287"/>
              <a:ext cx="163285" cy="0"/>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 name="Connettore 2 15"/>
          <xdr:cNvCxnSpPr/>
        </xdr:nvCxnSpPr>
        <xdr:spPr>
          <a:xfrm>
            <a:off x="1060450" y="3606800"/>
            <a:ext cx="552450" cy="0"/>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27" name="Gruppo 26"/>
          <xdr:cNvGrpSpPr/>
        </xdr:nvGrpSpPr>
        <xdr:grpSpPr>
          <a:xfrm>
            <a:off x="1608137" y="3563937"/>
            <a:ext cx="237641" cy="174418"/>
            <a:chOff x="1612900" y="3568700"/>
            <a:chExt cx="237641" cy="174418"/>
          </a:xfrm>
        </xdr:grpSpPr>
        <xdr:sp macro="" textlink="">
          <xdr:nvSpPr>
            <xdr:cNvPr id="17" name="Rettangolo 16"/>
            <xdr:cNvSpPr/>
          </xdr:nvSpPr>
          <xdr:spPr>
            <a:xfrm>
              <a:off x="1612900" y="3568700"/>
              <a:ext cx="215900" cy="82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xnSp macro="">
          <xdr:nvCxnSpPr>
            <xdr:cNvPr id="19" name="Connettore 1 18"/>
            <xdr:cNvCxnSpPr/>
          </xdr:nvCxnSpPr>
          <xdr:spPr>
            <a:xfrm>
              <a:off x="1746250" y="3651250"/>
              <a:ext cx="82550" cy="63500"/>
            </a:xfrm>
            <a:prstGeom prst="line">
              <a:avLst/>
            </a:prstGeom>
            <a:ln w="12700">
              <a:solidFill>
                <a:schemeClr val="accent5"/>
              </a:solidFill>
            </a:ln>
          </xdr:spPr>
          <xdr:style>
            <a:lnRef idx="1">
              <a:schemeClr val="accent1"/>
            </a:lnRef>
            <a:fillRef idx="0">
              <a:schemeClr val="accent1"/>
            </a:fillRef>
            <a:effectRef idx="0">
              <a:schemeClr val="accent1"/>
            </a:effectRef>
            <a:fontRef idx="minor">
              <a:schemeClr val="tx1"/>
            </a:fontRef>
          </xdr:style>
        </xdr:cxnSp>
        <xdr:cxnSp macro="">
          <xdr:nvCxnSpPr>
            <xdr:cNvPr id="22" name="Connettore 1 21"/>
            <xdr:cNvCxnSpPr/>
          </xdr:nvCxnSpPr>
          <xdr:spPr>
            <a:xfrm flipV="1">
              <a:off x="1809128" y="3689281"/>
              <a:ext cx="41413" cy="53837"/>
            </a:xfrm>
            <a:prstGeom prst="line">
              <a:avLst/>
            </a:prstGeom>
            <a:ln w="12700">
              <a:solidFill>
                <a:schemeClr val="accent5"/>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Connettore 2 27"/>
          <xdr:cNvCxnSpPr/>
        </xdr:nvCxnSpPr>
        <xdr:spPr>
          <a:xfrm>
            <a:off x="1822450" y="3606800"/>
            <a:ext cx="419100" cy="0"/>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Connettore 2 41"/>
          <xdr:cNvCxnSpPr>
            <a:stCxn id="30" idx="0"/>
          </xdr:cNvCxnSpPr>
        </xdr:nvCxnSpPr>
        <xdr:spPr>
          <a:xfrm>
            <a:off x="2225675" y="3505200"/>
            <a:ext cx="1179513" cy="0"/>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7" name="Gruppo 46"/>
          <xdr:cNvGrpSpPr/>
        </xdr:nvGrpSpPr>
        <xdr:grpSpPr>
          <a:xfrm>
            <a:off x="2658342" y="3238504"/>
            <a:ext cx="164523" cy="264099"/>
            <a:chOff x="2658342" y="3238504"/>
            <a:chExt cx="164523" cy="264099"/>
          </a:xfrm>
        </xdr:grpSpPr>
        <xdr:cxnSp macro="">
          <xdr:nvCxnSpPr>
            <xdr:cNvPr id="44" name="Connettore 1 43"/>
            <xdr:cNvCxnSpPr/>
          </xdr:nvCxnSpPr>
          <xdr:spPr>
            <a:xfrm flipV="1">
              <a:off x="2736273" y="3407352"/>
              <a:ext cx="0" cy="95251"/>
            </a:xfrm>
            <a:prstGeom prst="line">
              <a:avLst/>
            </a:prstGeom>
            <a:ln w="12700">
              <a:solidFill>
                <a:schemeClr val="accent5"/>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Ovale 44"/>
            <xdr:cNvSpPr/>
          </xdr:nvSpPr>
          <xdr:spPr>
            <a:xfrm>
              <a:off x="2658342" y="3238504"/>
              <a:ext cx="164523" cy="164522"/>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noAutofit/>
            </a:bodyPr>
            <a:lstStyle/>
            <a:p>
              <a:pPr algn="l"/>
              <a:r>
                <a:rPr lang="it-IT" sz="800">
                  <a:solidFill>
                    <a:schemeClr val="accent5"/>
                  </a:solidFill>
                </a:rPr>
                <a:t>FE</a:t>
              </a:r>
            </a:p>
          </xdr:txBody>
        </xdr:sp>
      </xdr:grpSp>
      <xdr:cxnSp macro="">
        <xdr:nvCxnSpPr>
          <xdr:cNvPr id="50" name="Connettore 2 49"/>
          <xdr:cNvCxnSpPr/>
        </xdr:nvCxnSpPr>
        <xdr:spPr>
          <a:xfrm flipV="1">
            <a:off x="3381375" y="2532063"/>
            <a:ext cx="0" cy="968375"/>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Connettore 2 51"/>
          <xdr:cNvCxnSpPr/>
        </xdr:nvCxnSpPr>
        <xdr:spPr>
          <a:xfrm>
            <a:off x="3381375" y="2547938"/>
            <a:ext cx="1357312" cy="0"/>
          </a:xfrm>
          <a:prstGeom prst="straightConnector1">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66" name="Gruppo 65"/>
          <xdr:cNvGrpSpPr/>
        </xdr:nvGrpSpPr>
        <xdr:grpSpPr>
          <a:xfrm>
            <a:off x="2996407" y="3359394"/>
            <a:ext cx="138906" cy="209974"/>
            <a:chOff x="2996407" y="3359394"/>
            <a:chExt cx="138906" cy="209974"/>
          </a:xfrm>
        </xdr:grpSpPr>
        <xdr:sp macro="" textlink="">
          <xdr:nvSpPr>
            <xdr:cNvPr id="62" name="Ovale 61"/>
            <xdr:cNvSpPr/>
          </xdr:nvSpPr>
          <xdr:spPr>
            <a:xfrm>
              <a:off x="2996407" y="3359394"/>
              <a:ext cx="138906" cy="8945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65" name="Rettangolo 64"/>
            <xdr:cNvSpPr/>
          </xdr:nvSpPr>
          <xdr:spPr>
            <a:xfrm>
              <a:off x="3000069" y="3404104"/>
              <a:ext cx="134938" cy="542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58" name="Fascicolazione 57"/>
            <xdr:cNvSpPr/>
          </xdr:nvSpPr>
          <xdr:spPr>
            <a:xfrm>
              <a:off x="3012909" y="3439026"/>
              <a:ext cx="100263" cy="130342"/>
            </a:xfrm>
            <a:prstGeom prst="flowChartCollate">
              <a:avLst/>
            </a:prstGeom>
            <a:solidFill>
              <a:schemeClr val="bg1"/>
            </a:solidFill>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solidFill>
                  <a:schemeClr val="tx1"/>
                </a:solidFill>
              </a:endParaRPr>
            </a:p>
          </xdr:txBody>
        </xdr:sp>
        <xdr:cxnSp macro="">
          <xdr:nvCxnSpPr>
            <xdr:cNvPr id="60" name="Connettore 1 59"/>
            <xdr:cNvCxnSpPr>
              <a:stCxn id="58" idx="1"/>
            </xdr:cNvCxnSpPr>
          </xdr:nvCxnSpPr>
          <xdr:spPr>
            <a:xfrm flipV="1">
              <a:off x="3063041" y="3405188"/>
              <a:ext cx="0" cy="99009"/>
            </a:xfrm>
            <a:prstGeom prst="line">
              <a:avLst/>
            </a:prstGeom>
            <a:ln w="12700">
              <a:solidFill>
                <a:schemeClr val="accent5"/>
              </a:solidFill>
            </a:ln>
          </xdr:spPr>
          <xdr:style>
            <a:lnRef idx="1">
              <a:schemeClr val="accent1"/>
            </a:lnRef>
            <a:fillRef idx="0">
              <a:schemeClr val="accent1"/>
            </a:fillRef>
            <a:effectRef idx="0">
              <a:schemeClr val="accent1"/>
            </a:effectRef>
            <a:fontRef idx="minor">
              <a:schemeClr val="tx1"/>
            </a:fontRef>
          </xdr:style>
        </xdr:cxnSp>
        <xdr:cxnSp macro="">
          <xdr:nvCxnSpPr>
            <xdr:cNvPr id="64" name="Connettore 1 63"/>
            <xdr:cNvCxnSpPr>
              <a:stCxn id="62" idx="2"/>
              <a:endCxn id="62" idx="6"/>
            </xdr:cNvCxnSpPr>
          </xdr:nvCxnSpPr>
          <xdr:spPr>
            <a:xfrm>
              <a:off x="2996407" y="3404119"/>
              <a:ext cx="138906" cy="0"/>
            </a:xfrm>
            <a:prstGeom prst="line">
              <a:avLst/>
            </a:prstGeom>
            <a:ln w="12700">
              <a:solidFill>
                <a:schemeClr val="accent5"/>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8" name="Rettangolo 67"/>
          <xdr:cNvSpPr/>
        </xdr:nvSpPr>
        <xdr:spPr>
          <a:xfrm>
            <a:off x="3540125" y="2439458"/>
            <a:ext cx="539750" cy="21695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800">
                <a:solidFill>
                  <a:schemeClr val="accent5"/>
                </a:solidFill>
              </a:rPr>
              <a:t>Equipment</a:t>
            </a:r>
          </a:p>
        </xdr:txBody>
      </xdr:sp>
    </xdr:grpSp>
    <xdr:clientData/>
  </xdr:twoCellAnchor>
  <xdr:twoCellAnchor>
    <xdr:from>
      <xdr:col>19</xdr:col>
      <xdr:colOff>114300</xdr:colOff>
      <xdr:row>13</xdr:row>
      <xdr:rowOff>76200</xdr:rowOff>
    </xdr:from>
    <xdr:to>
      <xdr:col>20</xdr:col>
      <xdr:colOff>171450</xdr:colOff>
      <xdr:row>14</xdr:row>
      <xdr:rowOff>66675</xdr:rowOff>
    </xdr:to>
    <xdr:cxnSp macro="">
      <xdr:nvCxnSpPr>
        <xdr:cNvPr id="71" name="Connettore 1 70"/>
        <xdr:cNvCxnSpPr/>
      </xdr:nvCxnSpPr>
      <xdr:spPr>
        <a:xfrm>
          <a:off x="3543300" y="3314700"/>
          <a:ext cx="247650" cy="18097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112100</xdr:colOff>
      <xdr:row>11</xdr:row>
      <xdr:rowOff>154602</xdr:rowOff>
    </xdr:from>
    <xdr:to>
      <xdr:col>5</xdr:col>
      <xdr:colOff>112100</xdr:colOff>
      <xdr:row>15</xdr:row>
      <xdr:rowOff>87923</xdr:rowOff>
    </xdr:to>
    <xdr:cxnSp macro="">
      <xdr:nvCxnSpPr>
        <xdr:cNvPr id="73" name="Connettore 2 72"/>
        <xdr:cNvCxnSpPr>
          <a:stCxn id="4" idx="2"/>
        </xdr:cNvCxnSpPr>
      </xdr:nvCxnSpPr>
      <xdr:spPr>
        <a:xfrm>
          <a:off x="874100" y="3012102"/>
          <a:ext cx="0" cy="69532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65942</xdr:colOff>
      <xdr:row>15</xdr:row>
      <xdr:rowOff>87923</xdr:rowOff>
    </xdr:from>
    <xdr:to>
      <xdr:col>12</xdr:col>
      <xdr:colOff>120196</xdr:colOff>
      <xdr:row>15</xdr:row>
      <xdr:rowOff>97971</xdr:rowOff>
    </xdr:to>
    <xdr:cxnSp macro="">
      <xdr:nvCxnSpPr>
        <xdr:cNvPr id="77" name="Connettore 1 76"/>
        <xdr:cNvCxnSpPr>
          <a:stCxn id="39" idx="2"/>
        </xdr:cNvCxnSpPr>
      </xdr:nvCxnSpPr>
      <xdr:spPr>
        <a:xfrm flipH="1" flipV="1">
          <a:off x="446942" y="3707423"/>
          <a:ext cx="1768754" cy="100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59531</xdr:colOff>
      <xdr:row>7</xdr:row>
      <xdr:rowOff>23812</xdr:rowOff>
    </xdr:from>
    <xdr:to>
      <xdr:col>20</xdr:col>
      <xdr:colOff>154781</xdr:colOff>
      <xdr:row>8</xdr:row>
      <xdr:rowOff>95250</xdr:rowOff>
    </xdr:to>
    <xdr:cxnSp macro="">
      <xdr:nvCxnSpPr>
        <xdr:cNvPr id="80" name="Connettore 1 79"/>
        <xdr:cNvCxnSpPr/>
      </xdr:nvCxnSpPr>
      <xdr:spPr>
        <a:xfrm>
          <a:off x="3298031" y="2119312"/>
          <a:ext cx="476250" cy="261938"/>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107156</xdr:colOff>
      <xdr:row>7</xdr:row>
      <xdr:rowOff>35719</xdr:rowOff>
    </xdr:from>
    <xdr:to>
      <xdr:col>25</xdr:col>
      <xdr:colOff>71437</xdr:colOff>
      <xdr:row>9</xdr:row>
      <xdr:rowOff>11906</xdr:rowOff>
    </xdr:to>
    <xdr:cxnSp macro="">
      <xdr:nvCxnSpPr>
        <xdr:cNvPr id="82" name="Connettore 1 81"/>
        <xdr:cNvCxnSpPr/>
      </xdr:nvCxnSpPr>
      <xdr:spPr>
        <a:xfrm>
          <a:off x="4488656" y="2131219"/>
          <a:ext cx="154781" cy="357187"/>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144462</xdr:colOff>
      <xdr:row>14</xdr:row>
      <xdr:rowOff>179387</xdr:rowOff>
    </xdr:from>
    <xdr:to>
      <xdr:col>11</xdr:col>
      <xdr:colOff>180975</xdr:colOff>
      <xdr:row>16</xdr:row>
      <xdr:rowOff>47625</xdr:rowOff>
    </xdr:to>
    <xdr:cxnSp macro="">
      <xdr:nvCxnSpPr>
        <xdr:cNvPr id="84" name="Connettore 1 83"/>
        <xdr:cNvCxnSpPr>
          <a:stCxn id="17" idx="2"/>
        </xdr:cNvCxnSpPr>
      </xdr:nvCxnSpPr>
      <xdr:spPr>
        <a:xfrm>
          <a:off x="1858962" y="3608387"/>
          <a:ext cx="227013" cy="249238"/>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9</xdr:row>
      <xdr:rowOff>104775</xdr:rowOff>
    </xdr:from>
    <xdr:to>
      <xdr:col>9</xdr:col>
      <xdr:colOff>161925</xdr:colOff>
      <xdr:row>10</xdr:row>
      <xdr:rowOff>66675</xdr:rowOff>
    </xdr:to>
    <xdr:cxnSp macro="">
      <xdr:nvCxnSpPr>
        <xdr:cNvPr id="87" name="Connettore 1 86"/>
        <xdr:cNvCxnSpPr/>
      </xdr:nvCxnSpPr>
      <xdr:spPr>
        <a:xfrm flipV="1">
          <a:off x="1400175" y="2581275"/>
          <a:ext cx="285750" cy="152400"/>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14</xdr:row>
      <xdr:rowOff>150812</xdr:rowOff>
    </xdr:from>
    <xdr:to>
      <xdr:col>9</xdr:col>
      <xdr:colOff>1587</xdr:colOff>
      <xdr:row>16</xdr:row>
      <xdr:rowOff>57150</xdr:rowOff>
    </xdr:to>
    <xdr:cxnSp macro="">
      <xdr:nvCxnSpPr>
        <xdr:cNvPr id="90" name="Connettore 1 89"/>
        <xdr:cNvCxnSpPr/>
      </xdr:nvCxnSpPr>
      <xdr:spPr>
        <a:xfrm flipH="1">
          <a:off x="1362075" y="3579812"/>
          <a:ext cx="163512" cy="287338"/>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123825</xdr:colOff>
      <xdr:row>11</xdr:row>
      <xdr:rowOff>171450</xdr:rowOff>
    </xdr:from>
    <xdr:to>
      <xdr:col>20</xdr:col>
      <xdr:colOff>171450</xdr:colOff>
      <xdr:row>12</xdr:row>
      <xdr:rowOff>95250</xdr:rowOff>
    </xdr:to>
    <xdr:cxnSp macro="">
      <xdr:nvCxnSpPr>
        <xdr:cNvPr id="95" name="Connettore 1 94"/>
        <xdr:cNvCxnSpPr/>
      </xdr:nvCxnSpPr>
      <xdr:spPr>
        <a:xfrm>
          <a:off x="3552825" y="3028950"/>
          <a:ext cx="238125" cy="114300"/>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28575</xdr:colOff>
      <xdr:row>14</xdr:row>
      <xdr:rowOff>104775</xdr:rowOff>
    </xdr:from>
    <xdr:to>
      <xdr:col>20</xdr:col>
      <xdr:colOff>171450</xdr:colOff>
      <xdr:row>17</xdr:row>
      <xdr:rowOff>66675</xdr:rowOff>
    </xdr:to>
    <xdr:cxnSp macro="">
      <xdr:nvCxnSpPr>
        <xdr:cNvPr id="98" name="Connettore 1 97"/>
        <xdr:cNvCxnSpPr/>
      </xdr:nvCxnSpPr>
      <xdr:spPr>
        <a:xfrm>
          <a:off x="3267075" y="3533775"/>
          <a:ext cx="523875" cy="533400"/>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B1:AA61"/>
  <sheetViews>
    <sheetView tabSelected="1" zoomScale="80" zoomScaleNormal="80" workbookViewId="0">
      <selection activeCell="AI31" sqref="AI31"/>
    </sheetView>
  </sheetViews>
  <sheetFormatPr defaultRowHeight="15" x14ac:dyDescent="0.25"/>
  <cols>
    <col min="1" max="28" width="2.85546875" customWidth="1"/>
  </cols>
  <sheetData>
    <row r="1" spans="2:27" x14ac:dyDescent="0.25">
      <c r="B1" s="106" t="s">
        <v>0</v>
      </c>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2:27" x14ac:dyDescent="0.25">
      <c r="B2" s="109"/>
      <c r="C2" s="110"/>
      <c r="D2" s="110"/>
      <c r="E2" s="110"/>
      <c r="F2" s="110"/>
      <c r="G2" s="110"/>
      <c r="H2" s="110"/>
      <c r="I2" s="110"/>
      <c r="J2" s="110"/>
      <c r="K2" s="110"/>
      <c r="L2" s="110"/>
      <c r="M2" s="110"/>
      <c r="N2" s="110"/>
      <c r="O2" s="110"/>
      <c r="P2" s="110"/>
      <c r="Q2" s="110"/>
      <c r="R2" s="110"/>
      <c r="S2" s="110"/>
      <c r="T2" s="110"/>
      <c r="U2" s="110"/>
      <c r="V2" s="110"/>
      <c r="W2" s="110"/>
      <c r="X2" s="110"/>
      <c r="Y2" s="110"/>
      <c r="Z2" s="110"/>
      <c r="AA2" s="111"/>
    </row>
    <row r="3" spans="2:27" x14ac:dyDescent="0.25">
      <c r="B3" s="112"/>
      <c r="C3" s="113"/>
      <c r="D3" s="113"/>
      <c r="E3" s="113"/>
      <c r="F3" s="113"/>
      <c r="G3" s="113"/>
      <c r="H3" s="113"/>
      <c r="I3" s="113"/>
      <c r="J3" s="113"/>
      <c r="K3" s="113"/>
      <c r="L3" s="113"/>
      <c r="M3" s="113"/>
      <c r="N3" s="113"/>
      <c r="O3" s="113"/>
      <c r="P3" s="113"/>
      <c r="Q3" s="113"/>
      <c r="R3" s="113"/>
      <c r="S3" s="113"/>
      <c r="T3" s="113"/>
      <c r="U3" s="113"/>
      <c r="V3" s="113"/>
      <c r="W3" s="113"/>
      <c r="X3" s="113"/>
      <c r="Y3" s="113"/>
      <c r="Z3" s="113"/>
      <c r="AA3" s="114"/>
    </row>
    <row r="4" spans="2:27" x14ac:dyDescent="0.25">
      <c r="B4" s="30" t="s">
        <v>1</v>
      </c>
      <c r="C4" s="31"/>
      <c r="D4" s="31"/>
      <c r="E4" s="94"/>
      <c r="F4" s="94"/>
      <c r="G4" s="94"/>
      <c r="H4" s="94"/>
      <c r="I4" s="95"/>
      <c r="J4" s="30" t="s">
        <v>2</v>
      </c>
      <c r="K4" s="31"/>
      <c r="L4" s="31"/>
      <c r="M4" s="94"/>
      <c r="N4" s="94"/>
      <c r="O4" s="94"/>
      <c r="P4" s="94"/>
      <c r="Q4" s="94"/>
      <c r="R4" s="95"/>
      <c r="S4" s="48" t="s">
        <v>5</v>
      </c>
      <c r="T4" s="49"/>
      <c r="U4" s="49"/>
      <c r="V4" s="94"/>
      <c r="W4" s="94"/>
      <c r="X4" s="94"/>
      <c r="Y4" s="94"/>
      <c r="Z4" s="94"/>
      <c r="AA4" s="95"/>
    </row>
    <row r="5" spans="2:27" x14ac:dyDescent="0.25">
      <c r="B5" s="7"/>
      <c r="C5" s="8"/>
      <c r="D5" s="8"/>
      <c r="E5" s="8"/>
      <c r="F5" s="8"/>
      <c r="G5" s="8"/>
      <c r="H5" s="8"/>
      <c r="I5" s="8"/>
      <c r="J5" s="8"/>
      <c r="K5" s="8"/>
      <c r="L5" s="8"/>
      <c r="M5" s="8"/>
      <c r="N5" s="8"/>
      <c r="O5" s="8"/>
      <c r="P5" s="8"/>
      <c r="Q5" s="8"/>
      <c r="R5" s="8"/>
      <c r="S5" s="8"/>
      <c r="T5" s="8"/>
      <c r="U5" s="8"/>
      <c r="V5" s="8"/>
      <c r="W5" s="8"/>
      <c r="X5" s="8"/>
      <c r="Y5" s="8"/>
      <c r="Z5" s="8"/>
      <c r="AA5" s="11"/>
    </row>
    <row r="6" spans="2:27" x14ac:dyDescent="0.25">
      <c r="B6" s="3"/>
      <c r="C6" s="1"/>
      <c r="D6" s="1"/>
      <c r="E6" s="1"/>
      <c r="F6" s="1"/>
      <c r="G6" s="1"/>
      <c r="H6" s="1"/>
      <c r="I6" s="14"/>
      <c r="J6" s="1"/>
      <c r="K6" s="1" t="s">
        <v>3</v>
      </c>
      <c r="L6" s="1"/>
      <c r="M6" s="1"/>
      <c r="N6" s="1"/>
      <c r="O6" s="1"/>
      <c r="P6" s="1"/>
      <c r="Q6" s="1" t="s">
        <v>10</v>
      </c>
      <c r="R6" s="1"/>
      <c r="S6" s="1"/>
      <c r="T6" s="1"/>
      <c r="U6" s="1"/>
      <c r="V6" s="1"/>
      <c r="W6" s="1"/>
      <c r="X6" s="1" t="s">
        <v>11</v>
      </c>
      <c r="Y6" s="1"/>
      <c r="Z6" s="1"/>
      <c r="AA6" s="2"/>
    </row>
    <row r="7" spans="2:27" x14ac:dyDescent="0.25">
      <c r="B7" s="115" t="s">
        <v>13</v>
      </c>
      <c r="C7" s="116"/>
      <c r="D7" s="116"/>
      <c r="E7" s="117"/>
      <c r="F7" s="1"/>
      <c r="G7" s="1"/>
      <c r="H7" s="1"/>
      <c r="I7" s="1"/>
      <c r="J7" s="1"/>
      <c r="K7" s="93">
        <v>5</v>
      </c>
      <c r="L7" s="94"/>
      <c r="M7" s="95"/>
      <c r="N7" s="1"/>
      <c r="O7" s="1"/>
      <c r="P7" s="1"/>
      <c r="Q7" s="93">
        <v>1</v>
      </c>
      <c r="R7" s="94"/>
      <c r="S7" s="95"/>
      <c r="T7" s="1"/>
      <c r="U7" s="14"/>
      <c r="V7" s="1"/>
      <c r="W7" s="1"/>
      <c r="X7" s="93">
        <v>12</v>
      </c>
      <c r="Y7" s="94"/>
      <c r="Z7" s="95"/>
      <c r="AA7" s="2"/>
    </row>
    <row r="8" spans="2:27" x14ac:dyDescent="0.25">
      <c r="B8" s="7"/>
      <c r="C8" s="8"/>
      <c r="D8" s="8"/>
      <c r="E8" s="11"/>
      <c r="F8" s="1"/>
      <c r="G8" s="1"/>
      <c r="H8" s="1"/>
      <c r="I8" s="1"/>
      <c r="J8" s="1"/>
      <c r="K8" s="1"/>
      <c r="L8" s="1"/>
      <c r="M8" s="1"/>
      <c r="N8" s="1"/>
      <c r="O8" s="1"/>
      <c r="P8" s="1"/>
      <c r="Q8" s="1"/>
      <c r="R8" s="1"/>
      <c r="S8" s="1"/>
      <c r="T8" s="1"/>
      <c r="U8" s="1"/>
      <c r="V8" s="1"/>
      <c r="W8" s="14"/>
      <c r="X8" s="1"/>
      <c r="Y8" s="1"/>
      <c r="Z8" s="1"/>
      <c r="AA8" s="2"/>
    </row>
    <row r="9" spans="2:27" x14ac:dyDescent="0.25">
      <c r="B9" s="9" t="s">
        <v>12</v>
      </c>
      <c r="C9" s="94">
        <v>11.9</v>
      </c>
      <c r="D9" s="94"/>
      <c r="E9" s="95"/>
      <c r="F9" s="1"/>
      <c r="G9" s="1"/>
      <c r="H9" s="1"/>
      <c r="I9" s="1"/>
      <c r="J9" s="1"/>
      <c r="K9" s="1" t="s">
        <v>7</v>
      </c>
      <c r="L9" s="1"/>
      <c r="M9" s="1"/>
      <c r="N9" s="1"/>
      <c r="O9" s="1"/>
      <c r="P9" s="1"/>
      <c r="Q9" s="1"/>
      <c r="R9" s="1"/>
      <c r="S9" s="1"/>
      <c r="T9" s="1"/>
      <c r="U9" s="1"/>
      <c r="V9" s="1"/>
      <c r="W9" s="1"/>
      <c r="X9" s="1"/>
      <c r="Y9" s="1"/>
      <c r="Z9" s="1"/>
      <c r="AA9" s="2"/>
    </row>
    <row r="10" spans="2:27" x14ac:dyDescent="0.25">
      <c r="B10" s="9" t="s">
        <v>14</v>
      </c>
      <c r="C10" s="94">
        <v>5</v>
      </c>
      <c r="D10" s="94"/>
      <c r="E10" s="95"/>
      <c r="F10" s="1"/>
      <c r="G10" s="1"/>
      <c r="H10" s="1"/>
      <c r="I10" s="1"/>
      <c r="J10" s="1"/>
      <c r="K10" s="93">
        <v>4</v>
      </c>
      <c r="L10" s="94"/>
      <c r="M10" s="95"/>
      <c r="N10" s="1"/>
      <c r="O10" s="1"/>
      <c r="P10" s="1"/>
      <c r="Q10" s="1"/>
      <c r="R10" s="1"/>
      <c r="S10" s="1"/>
      <c r="T10" s="1"/>
      <c r="U10" s="1"/>
      <c r="V10" s="1"/>
      <c r="W10" s="1"/>
      <c r="X10" s="1"/>
      <c r="Y10" s="1"/>
      <c r="Z10" s="1"/>
      <c r="AA10" s="2"/>
    </row>
    <row r="11" spans="2:27" x14ac:dyDescent="0.25">
      <c r="B11" s="4" t="s">
        <v>15</v>
      </c>
      <c r="C11" s="98">
        <v>0.3</v>
      </c>
      <c r="D11" s="98"/>
      <c r="E11" s="99"/>
      <c r="F11" s="1"/>
      <c r="G11" s="1"/>
      <c r="H11" s="1"/>
      <c r="I11" s="1"/>
      <c r="J11" s="1"/>
      <c r="K11" s="1"/>
      <c r="L11" s="1"/>
      <c r="M11" s="1"/>
      <c r="N11" s="1"/>
      <c r="O11" s="1"/>
      <c r="P11" s="1"/>
      <c r="Q11" s="1"/>
      <c r="R11" s="1"/>
      <c r="S11" s="1"/>
      <c r="T11" s="1"/>
      <c r="U11" s="1"/>
      <c r="V11" s="14"/>
      <c r="W11" s="1"/>
      <c r="X11" s="1"/>
      <c r="Y11" s="1"/>
      <c r="Z11" s="1"/>
      <c r="AA11" s="2"/>
    </row>
    <row r="12" spans="2:27" x14ac:dyDescent="0.25">
      <c r="B12" s="4"/>
      <c r="C12" s="5"/>
      <c r="D12" s="5"/>
      <c r="E12" s="6"/>
      <c r="F12" s="1"/>
      <c r="G12" s="1"/>
      <c r="H12" s="1"/>
      <c r="I12" s="1"/>
      <c r="J12" s="1"/>
      <c r="K12" s="1"/>
      <c r="L12" s="1"/>
      <c r="M12" s="1"/>
      <c r="N12" s="1" t="s">
        <v>9</v>
      </c>
      <c r="O12" s="1"/>
      <c r="P12" s="1"/>
      <c r="Q12" s="1"/>
      <c r="R12" s="1"/>
      <c r="S12" s="1"/>
      <c r="T12" s="1"/>
      <c r="U12" s="1"/>
      <c r="V12" s="1" t="s">
        <v>25</v>
      </c>
      <c r="W12" s="14"/>
      <c r="X12" s="14"/>
      <c r="Y12" s="1"/>
      <c r="Z12" s="1"/>
      <c r="AA12" s="2"/>
    </row>
    <row r="13" spans="2:27" x14ac:dyDescent="0.25">
      <c r="B13" s="3"/>
      <c r="C13" s="1"/>
      <c r="D13" s="14"/>
      <c r="E13" s="1"/>
      <c r="F13" s="1"/>
      <c r="G13" s="1"/>
      <c r="H13" s="1"/>
      <c r="I13" s="1"/>
      <c r="J13" s="1"/>
      <c r="K13" s="1"/>
      <c r="L13" s="1"/>
      <c r="M13" s="1"/>
      <c r="N13" s="93">
        <v>0.25</v>
      </c>
      <c r="O13" s="94"/>
      <c r="P13" s="95"/>
      <c r="Q13" s="1"/>
      <c r="R13" s="1"/>
      <c r="S13" s="1"/>
      <c r="T13" s="1"/>
      <c r="U13" s="1"/>
      <c r="V13" s="93">
        <v>0.8</v>
      </c>
      <c r="W13" s="94"/>
      <c r="X13" s="95"/>
      <c r="Y13" s="1"/>
      <c r="Z13" s="1"/>
      <c r="AA13" s="2"/>
    </row>
    <row r="14" spans="2:27" x14ac:dyDescent="0.25">
      <c r="B14" s="3" t="s">
        <v>6</v>
      </c>
      <c r="C14" s="1"/>
      <c r="D14" s="1"/>
      <c r="E14" s="1"/>
      <c r="F14" s="1"/>
      <c r="G14" s="1"/>
      <c r="H14" s="1"/>
      <c r="I14" s="1"/>
      <c r="J14" s="1"/>
      <c r="K14" s="1"/>
      <c r="L14" s="1"/>
      <c r="M14" s="1"/>
      <c r="N14" s="1"/>
      <c r="O14" s="1"/>
      <c r="P14" s="1"/>
      <c r="Q14" s="1"/>
      <c r="R14" s="1"/>
      <c r="S14" s="1"/>
      <c r="T14" s="1"/>
      <c r="U14" s="1"/>
      <c r="V14" s="1"/>
      <c r="W14" s="1"/>
      <c r="X14" s="1"/>
      <c r="Y14" s="1"/>
      <c r="Z14" s="1"/>
      <c r="AA14" s="2"/>
    </row>
    <row r="15" spans="2:27" x14ac:dyDescent="0.25">
      <c r="B15" s="93">
        <v>10</v>
      </c>
      <c r="C15" s="94"/>
      <c r="D15" s="95"/>
      <c r="E15" s="1"/>
      <c r="F15" s="1"/>
      <c r="G15" s="1"/>
      <c r="H15" s="1"/>
      <c r="I15" s="1"/>
      <c r="J15" s="1"/>
      <c r="K15" s="1"/>
      <c r="L15" s="1"/>
      <c r="M15" s="1"/>
      <c r="N15" s="1"/>
      <c r="O15" s="1"/>
      <c r="P15" s="1"/>
      <c r="Q15" s="1"/>
      <c r="R15" s="1"/>
      <c r="S15" s="1"/>
      <c r="T15" s="1"/>
      <c r="U15" s="1"/>
      <c r="V15" s="1" t="s">
        <v>4</v>
      </c>
      <c r="W15" s="1"/>
      <c r="X15" s="1"/>
      <c r="Y15" s="1"/>
      <c r="Z15" s="1"/>
      <c r="AA15" s="2"/>
    </row>
    <row r="16" spans="2:27" x14ac:dyDescent="0.25">
      <c r="B16" s="3"/>
      <c r="C16" s="1"/>
      <c r="D16" s="1"/>
      <c r="E16" s="1"/>
      <c r="F16" s="1"/>
      <c r="G16" s="1"/>
      <c r="H16" s="1"/>
      <c r="I16" s="1"/>
      <c r="J16" s="1"/>
      <c r="K16" s="1"/>
      <c r="L16" s="1"/>
      <c r="M16" s="1"/>
      <c r="N16" s="1"/>
      <c r="O16" s="1"/>
      <c r="P16" s="1"/>
      <c r="Q16" s="14"/>
      <c r="R16" s="1"/>
      <c r="S16" s="1"/>
      <c r="T16" s="1"/>
      <c r="U16" s="1"/>
      <c r="V16" s="93">
        <v>2</v>
      </c>
      <c r="W16" s="94"/>
      <c r="X16" s="95"/>
      <c r="Y16" s="1"/>
      <c r="Z16" s="1"/>
      <c r="AA16" s="2"/>
    </row>
    <row r="17" spans="2:27" x14ac:dyDescent="0.25">
      <c r="B17" s="3"/>
      <c r="C17" s="1"/>
      <c r="D17" s="1"/>
      <c r="E17" s="1"/>
      <c r="F17" s="1"/>
      <c r="G17" s="1" t="s">
        <v>25</v>
      </c>
      <c r="H17" s="1"/>
      <c r="I17" s="1"/>
      <c r="J17" s="1"/>
      <c r="K17" s="1"/>
      <c r="L17" s="1"/>
      <c r="M17" s="1" t="s">
        <v>8</v>
      </c>
      <c r="N17" s="1"/>
      <c r="O17" s="1"/>
      <c r="P17" s="1"/>
      <c r="Q17" s="1"/>
      <c r="R17" s="1"/>
      <c r="S17" s="1"/>
      <c r="T17" s="1"/>
      <c r="U17" s="1"/>
      <c r="V17" s="1"/>
      <c r="W17" s="1"/>
      <c r="X17" s="1"/>
      <c r="Y17" s="1"/>
      <c r="Z17" s="1"/>
      <c r="AA17" s="2"/>
    </row>
    <row r="18" spans="2:27" x14ac:dyDescent="0.25">
      <c r="B18" s="3"/>
      <c r="C18" s="1"/>
      <c r="D18" s="1"/>
      <c r="E18" s="1"/>
      <c r="F18" s="1"/>
      <c r="G18" s="93">
        <v>8.9999999999999993E-3</v>
      </c>
      <c r="H18" s="94"/>
      <c r="I18" s="95"/>
      <c r="J18" s="1"/>
      <c r="K18" s="1"/>
      <c r="L18" s="1"/>
      <c r="M18" s="93">
        <v>7.0000000000000007E-2</v>
      </c>
      <c r="N18" s="94"/>
      <c r="O18" s="95"/>
      <c r="P18" s="1"/>
      <c r="Q18" s="1"/>
      <c r="R18" s="1"/>
      <c r="S18" s="1"/>
      <c r="T18" s="1"/>
      <c r="U18" s="1"/>
      <c r="V18" s="1" t="s">
        <v>22</v>
      </c>
      <c r="W18" s="1"/>
      <c r="X18" s="1"/>
      <c r="Y18" s="1"/>
      <c r="Z18" s="1"/>
      <c r="AA18" s="2"/>
    </row>
    <row r="19" spans="2:27" x14ac:dyDescent="0.25">
      <c r="B19" s="3"/>
      <c r="C19" s="1"/>
      <c r="D19" s="1"/>
      <c r="E19" s="1"/>
      <c r="F19" s="1"/>
      <c r="G19" s="1"/>
      <c r="H19" s="1"/>
      <c r="I19" s="1"/>
      <c r="J19" s="1"/>
      <c r="K19" s="1"/>
      <c r="L19" s="1"/>
      <c r="M19" s="1"/>
      <c r="N19" s="1"/>
      <c r="O19" s="1"/>
      <c r="P19" s="1"/>
      <c r="Q19" s="1"/>
      <c r="R19" s="1"/>
      <c r="S19" s="1"/>
      <c r="T19" s="1"/>
      <c r="U19" s="1"/>
      <c r="V19" s="93">
        <v>0.7</v>
      </c>
      <c r="W19" s="94"/>
      <c r="X19" s="95"/>
      <c r="Y19" s="1"/>
      <c r="Z19" s="1"/>
      <c r="AA19" s="2"/>
    </row>
    <row r="20" spans="2:27" x14ac:dyDescent="0.25">
      <c r="B20" s="100" t="s">
        <v>16</v>
      </c>
      <c r="C20" s="101"/>
      <c r="D20" s="101"/>
      <c r="E20" s="101"/>
      <c r="F20" s="101"/>
      <c r="G20" s="101"/>
      <c r="H20" s="101"/>
      <c r="I20" s="101"/>
      <c r="J20" s="101"/>
      <c r="K20" s="101"/>
      <c r="L20" s="101"/>
      <c r="M20" s="101"/>
      <c r="N20" s="101"/>
      <c r="O20" s="101"/>
      <c r="P20" s="101"/>
      <c r="Q20" s="101"/>
      <c r="R20" s="101"/>
      <c r="S20" s="52"/>
      <c r="T20" s="52"/>
      <c r="U20" s="52"/>
      <c r="V20" s="52"/>
      <c r="W20" s="52"/>
      <c r="X20" s="52"/>
      <c r="Y20" s="52"/>
      <c r="Z20" s="52"/>
      <c r="AA20" s="53"/>
    </row>
    <row r="21" spans="2:27" x14ac:dyDescent="0.25">
      <c r="B21" s="9" t="s">
        <v>17</v>
      </c>
      <c r="C21" s="10"/>
      <c r="D21" s="10"/>
      <c r="E21" s="10"/>
      <c r="F21" s="13"/>
      <c r="G21" s="94">
        <v>0.9</v>
      </c>
      <c r="H21" s="94"/>
      <c r="I21" s="94"/>
      <c r="J21" s="9" t="s">
        <v>18</v>
      </c>
      <c r="K21" s="13"/>
      <c r="L21" s="10"/>
      <c r="M21" s="10"/>
      <c r="N21" s="10"/>
      <c r="O21" s="10"/>
      <c r="P21" s="94">
        <v>550</v>
      </c>
      <c r="Q21" s="94"/>
      <c r="R21" s="95"/>
      <c r="S21" s="9" t="s">
        <v>21</v>
      </c>
      <c r="T21" s="13"/>
      <c r="U21" s="10"/>
      <c r="V21" s="10"/>
      <c r="W21" s="10"/>
      <c r="X21" s="10"/>
      <c r="Y21" s="94">
        <v>1.07</v>
      </c>
      <c r="Z21" s="94"/>
      <c r="AA21" s="95"/>
    </row>
    <row r="22" spans="2:27" x14ac:dyDescent="0.25">
      <c r="B22" s="9" t="s">
        <v>31</v>
      </c>
      <c r="C22" s="10"/>
      <c r="D22" s="10"/>
      <c r="E22" s="10"/>
      <c r="F22" s="13"/>
      <c r="G22" s="96">
        <v>1.2</v>
      </c>
      <c r="H22" s="96"/>
      <c r="I22" s="96"/>
      <c r="J22" s="9" t="s">
        <v>19</v>
      </c>
      <c r="K22" s="13"/>
      <c r="L22" s="10"/>
      <c r="M22" s="10"/>
      <c r="N22" s="10"/>
      <c r="O22" s="10"/>
      <c r="P22" s="94">
        <v>1</v>
      </c>
      <c r="Q22" s="94"/>
      <c r="R22" s="95"/>
      <c r="S22" s="9" t="s">
        <v>27</v>
      </c>
      <c r="T22" s="13"/>
      <c r="U22" s="10"/>
      <c r="V22" s="10"/>
      <c r="W22" s="10"/>
      <c r="X22" s="10"/>
      <c r="Y22" s="94">
        <v>80</v>
      </c>
      <c r="Z22" s="94"/>
      <c r="AA22" s="95"/>
    </row>
    <row r="23" spans="2:27" x14ac:dyDescent="0.25">
      <c r="B23" s="9" t="s">
        <v>33</v>
      </c>
      <c r="C23" s="10"/>
      <c r="D23" s="10"/>
      <c r="E23" s="10"/>
      <c r="F23" s="13"/>
      <c r="G23" s="94">
        <f>K10</f>
        <v>4</v>
      </c>
      <c r="H23" s="94"/>
      <c r="I23" s="94"/>
      <c r="J23" s="9" t="s">
        <v>20</v>
      </c>
      <c r="K23" s="13"/>
      <c r="L23" s="10"/>
      <c r="M23" s="10"/>
      <c r="N23" s="10"/>
      <c r="O23" s="10"/>
      <c r="P23" s="94">
        <v>150</v>
      </c>
      <c r="Q23" s="94"/>
      <c r="R23" s="95"/>
      <c r="S23" s="9" t="s">
        <v>28</v>
      </c>
      <c r="T23" s="13"/>
      <c r="U23" s="10"/>
      <c r="V23" s="10"/>
      <c r="W23" s="10"/>
      <c r="X23" s="10"/>
      <c r="Y23" s="94">
        <v>50</v>
      </c>
      <c r="Z23" s="94"/>
      <c r="AA23" s="95"/>
    </row>
    <row r="24" spans="2:27" x14ac:dyDescent="0.25">
      <c r="B24" s="9"/>
      <c r="C24" s="10"/>
      <c r="D24" s="10"/>
      <c r="E24" s="10"/>
      <c r="F24" s="13"/>
      <c r="G24" s="43"/>
      <c r="H24" s="43"/>
      <c r="I24" s="43"/>
      <c r="J24" s="9" t="s">
        <v>43</v>
      </c>
      <c r="K24" s="13"/>
      <c r="L24" s="10"/>
      <c r="M24" s="10"/>
      <c r="N24" s="10"/>
      <c r="O24" s="10"/>
      <c r="P24" s="96">
        <v>0.1</v>
      </c>
      <c r="Q24" s="96"/>
      <c r="R24" s="97"/>
      <c r="S24" s="9"/>
      <c r="T24" s="13"/>
      <c r="U24" s="10"/>
      <c r="V24" s="10"/>
      <c r="W24" s="10"/>
      <c r="X24" s="10"/>
      <c r="Y24" s="43"/>
      <c r="Z24" s="43"/>
      <c r="AA24" s="44"/>
    </row>
    <row r="25" spans="2:27" x14ac:dyDescent="0.25">
      <c r="B25" s="45" t="s">
        <v>26</v>
      </c>
      <c r="C25" s="46"/>
      <c r="D25" s="46"/>
      <c r="E25" s="46"/>
      <c r="F25" s="46"/>
      <c r="G25" s="46"/>
      <c r="H25" s="46"/>
      <c r="I25" s="46"/>
      <c r="J25" s="46"/>
      <c r="K25" s="46"/>
      <c r="L25" s="46"/>
      <c r="M25" s="46"/>
      <c r="N25" s="46"/>
      <c r="O25" s="46"/>
      <c r="P25" s="46"/>
      <c r="Q25" s="46"/>
      <c r="R25" s="46"/>
      <c r="S25" s="46"/>
      <c r="T25" s="46"/>
      <c r="U25" s="46"/>
      <c r="V25" s="46"/>
      <c r="W25" s="46"/>
      <c r="X25" s="46"/>
      <c r="Y25" s="46"/>
      <c r="Z25" s="46"/>
      <c r="AA25" s="47"/>
    </row>
    <row r="26" spans="2:27" ht="15" customHeight="1" x14ac:dyDescent="0.25">
      <c r="B26" s="45" t="s">
        <v>39</v>
      </c>
      <c r="C26" s="46"/>
      <c r="D26" s="46"/>
      <c r="E26" s="46"/>
      <c r="F26" s="46"/>
      <c r="G26" s="46"/>
      <c r="H26" s="46"/>
      <c r="I26" s="46"/>
      <c r="J26" s="46"/>
      <c r="K26" s="46"/>
      <c r="L26" s="47"/>
      <c r="M26" s="48" t="s">
        <v>32</v>
      </c>
      <c r="N26" s="49"/>
      <c r="O26" s="49"/>
      <c r="P26" s="49"/>
      <c r="Q26" s="50"/>
      <c r="R26" s="48" t="s">
        <v>29</v>
      </c>
      <c r="S26" s="49"/>
      <c r="T26" s="49"/>
      <c r="U26" s="49"/>
      <c r="V26" s="50"/>
      <c r="W26" s="48" t="s">
        <v>30</v>
      </c>
      <c r="X26" s="49"/>
      <c r="Y26" s="49"/>
      <c r="Z26" s="49"/>
      <c r="AA26" s="50"/>
    </row>
    <row r="27" spans="2:27" ht="15" customHeight="1" x14ac:dyDescent="0.25">
      <c r="B27" s="63" t="s">
        <v>23</v>
      </c>
      <c r="C27" s="64"/>
      <c r="D27" s="64"/>
      <c r="E27" s="64"/>
      <c r="F27" s="64"/>
      <c r="G27" s="64"/>
      <c r="H27" s="64"/>
      <c r="I27" s="64"/>
      <c r="J27" s="28" t="s">
        <v>24</v>
      </c>
      <c r="K27" s="28"/>
      <c r="L27" s="29"/>
      <c r="M27" s="48">
        <f>$K$10</f>
        <v>4</v>
      </c>
      <c r="N27" s="49"/>
      <c r="O27" s="49"/>
      <c r="P27" s="49"/>
      <c r="Q27" s="50"/>
      <c r="R27" s="48">
        <f t="shared" ref="R27" si="0">$K$10</f>
        <v>4</v>
      </c>
      <c r="S27" s="49"/>
      <c r="T27" s="49"/>
      <c r="U27" s="49"/>
      <c r="V27" s="50"/>
      <c r="W27" s="48">
        <f>K7</f>
        <v>5</v>
      </c>
      <c r="X27" s="49"/>
      <c r="Y27" s="49"/>
      <c r="Z27" s="49"/>
      <c r="AA27" s="50"/>
    </row>
    <row r="28" spans="2:27" x14ac:dyDescent="0.25">
      <c r="B28" s="63" t="s">
        <v>35</v>
      </c>
      <c r="C28" s="64"/>
      <c r="D28" s="64"/>
      <c r="E28" s="64"/>
      <c r="F28" s="64"/>
      <c r="G28" s="64"/>
      <c r="H28" s="64"/>
      <c r="I28" s="64"/>
      <c r="J28" s="28" t="s">
        <v>24</v>
      </c>
      <c r="K28" s="28"/>
      <c r="L28" s="29"/>
      <c r="M28" s="83">
        <f>$C$11*$P$21*9.80655/100000</f>
        <v>1.6180807499999998E-2</v>
      </c>
      <c r="N28" s="84"/>
      <c r="O28" s="84"/>
      <c r="P28" s="84"/>
      <c r="Q28" s="85"/>
      <c r="R28" s="83">
        <f>$C$10*$P$21*9.80655/100000</f>
        <v>0.26968012499999999</v>
      </c>
      <c r="S28" s="84"/>
      <c r="T28" s="84"/>
      <c r="U28" s="84"/>
      <c r="V28" s="85"/>
      <c r="W28" s="83">
        <f>$C$9*$P$21*9.80655/100000</f>
        <v>0.6418386975</v>
      </c>
      <c r="X28" s="84"/>
      <c r="Y28" s="84"/>
      <c r="Z28" s="84"/>
      <c r="AA28" s="85"/>
    </row>
    <row r="29" spans="2:27" x14ac:dyDescent="0.25">
      <c r="B29" s="63" t="s">
        <v>36</v>
      </c>
      <c r="C29" s="64"/>
      <c r="D29" s="64"/>
      <c r="E29" s="64"/>
      <c r="F29" s="64"/>
      <c r="G29" s="64"/>
      <c r="H29" s="64"/>
      <c r="I29" s="64"/>
      <c r="J29" s="28" t="s">
        <v>24</v>
      </c>
      <c r="K29" s="28"/>
      <c r="L29" s="29"/>
      <c r="M29" s="83">
        <f>($B$15-$Y$21)*$P$21*9.80655/100000</f>
        <v>0.48164870324999998</v>
      </c>
      <c r="N29" s="84"/>
      <c r="O29" s="84"/>
      <c r="P29" s="84"/>
      <c r="Q29" s="85"/>
      <c r="R29" s="83">
        <f t="shared" ref="R29" si="1">($B$15-$Y$21)*$P$21*9.80655/100000</f>
        <v>0.48164870324999998</v>
      </c>
      <c r="S29" s="84"/>
      <c r="T29" s="84"/>
      <c r="U29" s="84"/>
      <c r="V29" s="85"/>
      <c r="W29" s="83">
        <f t="shared" ref="W29" si="2">($B$15-$Y$21)*$P$21*9.80655/100000</f>
        <v>0.48164870324999998</v>
      </c>
      <c r="X29" s="84"/>
      <c r="Y29" s="84"/>
      <c r="Z29" s="84"/>
      <c r="AA29" s="85"/>
    </row>
    <row r="30" spans="2:27" x14ac:dyDescent="0.25">
      <c r="B30" s="63" t="s">
        <v>34</v>
      </c>
      <c r="C30" s="64"/>
      <c r="D30" s="64"/>
      <c r="E30" s="64"/>
      <c r="F30" s="64"/>
      <c r="G30" s="64"/>
      <c r="H30" s="64"/>
      <c r="I30" s="64"/>
      <c r="J30" s="28" t="s">
        <v>24</v>
      </c>
      <c r="K30" s="28"/>
      <c r="L30" s="29"/>
      <c r="M30" s="83">
        <f>-($G$18+$M$18)</f>
        <v>-7.9000000000000001E-2</v>
      </c>
      <c r="N30" s="84"/>
      <c r="O30" s="84"/>
      <c r="P30" s="84"/>
      <c r="Q30" s="85"/>
      <c r="R30" s="83">
        <f t="shared" ref="R30" si="3">-($G$18+$M$18)</f>
        <v>-7.9000000000000001E-2</v>
      </c>
      <c r="S30" s="84"/>
      <c r="T30" s="84"/>
      <c r="U30" s="84"/>
      <c r="V30" s="85"/>
      <c r="W30" s="83">
        <f t="shared" ref="W30" si="4">-($G$18+$M$18)</f>
        <v>-7.9000000000000001E-2</v>
      </c>
      <c r="X30" s="84"/>
      <c r="Y30" s="84"/>
      <c r="Z30" s="84"/>
      <c r="AA30" s="85"/>
    </row>
    <row r="31" spans="2:27" x14ac:dyDescent="0.25">
      <c r="B31" s="67" t="s">
        <v>37</v>
      </c>
      <c r="C31" s="68"/>
      <c r="D31" s="68"/>
      <c r="E31" s="68"/>
      <c r="F31" s="68"/>
      <c r="G31" s="68"/>
      <c r="H31" s="68"/>
      <c r="I31" s="68"/>
      <c r="J31" s="65" t="s">
        <v>24</v>
      </c>
      <c r="K31" s="65"/>
      <c r="L31" s="66"/>
      <c r="M31" s="23">
        <f>M27+M28+M29+M30</f>
        <v>4.4188295107500002</v>
      </c>
      <c r="N31" s="24"/>
      <c r="O31" s="24"/>
      <c r="P31" s="24"/>
      <c r="Q31" s="25"/>
      <c r="R31" s="23">
        <f t="shared" ref="R31" si="5">R27+R28+R29+R30</f>
        <v>4.6723288282500004</v>
      </c>
      <c r="S31" s="24"/>
      <c r="T31" s="24"/>
      <c r="U31" s="24"/>
      <c r="V31" s="25"/>
      <c r="W31" s="23">
        <f t="shared" ref="W31" si="6">W27+W28+W29+W30</f>
        <v>6.0444874007500005</v>
      </c>
      <c r="X31" s="24"/>
      <c r="Y31" s="24"/>
      <c r="Z31" s="24"/>
      <c r="AA31" s="25"/>
    </row>
    <row r="32" spans="2:27" x14ac:dyDescent="0.25">
      <c r="B32" s="51" t="s">
        <v>40</v>
      </c>
      <c r="C32" s="52"/>
      <c r="D32" s="52"/>
      <c r="E32" s="52"/>
      <c r="F32" s="52"/>
      <c r="G32" s="52"/>
      <c r="H32" s="52"/>
      <c r="I32" s="52"/>
      <c r="J32" s="52"/>
      <c r="K32" s="52"/>
      <c r="L32" s="52"/>
      <c r="M32" s="52"/>
      <c r="N32" s="52"/>
      <c r="O32" s="52"/>
      <c r="P32" s="52"/>
      <c r="Q32" s="53"/>
      <c r="R32" s="54" t="s">
        <v>46</v>
      </c>
      <c r="S32" s="55"/>
      <c r="T32" s="55"/>
      <c r="U32" s="55"/>
      <c r="V32" s="55"/>
      <c r="W32" s="55"/>
      <c r="X32" s="55"/>
      <c r="Y32" s="55"/>
      <c r="Z32" s="55"/>
      <c r="AA32" s="56"/>
    </row>
    <row r="33" spans="2:27" ht="15" customHeight="1" x14ac:dyDescent="0.25">
      <c r="B33" s="63" t="s">
        <v>38</v>
      </c>
      <c r="C33" s="64"/>
      <c r="D33" s="64"/>
      <c r="E33" s="64"/>
      <c r="F33" s="64"/>
      <c r="G33" s="64"/>
      <c r="H33" s="64"/>
      <c r="I33" s="64"/>
      <c r="J33" s="72" t="s">
        <v>24</v>
      </c>
      <c r="K33" s="72"/>
      <c r="L33" s="73"/>
      <c r="M33" s="74">
        <f>$X$7</f>
        <v>12</v>
      </c>
      <c r="N33" s="75"/>
      <c r="O33" s="75"/>
      <c r="P33" s="75"/>
      <c r="Q33" s="76"/>
      <c r="R33" s="57" t="s">
        <v>47</v>
      </c>
      <c r="S33" s="58"/>
      <c r="T33" s="58"/>
      <c r="U33" s="58"/>
      <c r="V33" s="59"/>
      <c r="W33" s="77">
        <f>M31</f>
        <v>4.4188295107500002</v>
      </c>
      <c r="X33" s="78"/>
      <c r="Y33" s="78"/>
      <c r="Z33" s="78"/>
      <c r="AA33" s="79"/>
    </row>
    <row r="34" spans="2:27" x14ac:dyDescent="0.25">
      <c r="B34" s="63" t="s">
        <v>41</v>
      </c>
      <c r="C34" s="64"/>
      <c r="D34" s="64"/>
      <c r="E34" s="64"/>
      <c r="F34" s="64"/>
      <c r="G34" s="64"/>
      <c r="H34" s="64"/>
      <c r="I34" s="64"/>
      <c r="J34" s="28" t="s">
        <v>24</v>
      </c>
      <c r="K34" s="28"/>
      <c r="L34" s="29"/>
      <c r="M34" s="48">
        <f>$Q$7+$V$13</f>
        <v>1.8</v>
      </c>
      <c r="N34" s="49"/>
      <c r="O34" s="49"/>
      <c r="P34" s="49"/>
      <c r="Q34" s="50"/>
      <c r="R34" s="60"/>
      <c r="S34" s="61"/>
      <c r="T34" s="61"/>
      <c r="U34" s="61"/>
      <c r="V34" s="62"/>
      <c r="W34" s="80"/>
      <c r="X34" s="81"/>
      <c r="Y34" s="81"/>
      <c r="Z34" s="81"/>
      <c r="AA34" s="82"/>
    </row>
    <row r="35" spans="2:27" x14ac:dyDescent="0.25">
      <c r="B35" s="63" t="s">
        <v>42</v>
      </c>
      <c r="C35" s="64"/>
      <c r="D35" s="64"/>
      <c r="E35" s="64"/>
      <c r="F35" s="64"/>
      <c r="G35" s="64"/>
      <c r="H35" s="64"/>
      <c r="I35" s="64"/>
      <c r="J35" s="28" t="s">
        <v>24</v>
      </c>
      <c r="K35" s="28"/>
      <c r="L35" s="29"/>
      <c r="M35" s="69">
        <f>IF(($V$16-$Y$21)*$P$21*9.80655/100000&lt;=0,0,($V$16-$Y$21)*$P$21*9.80655/100000)</f>
        <v>5.0160503249999995E-2</v>
      </c>
      <c r="N35" s="70"/>
      <c r="O35" s="70"/>
      <c r="P35" s="70"/>
      <c r="Q35" s="71"/>
      <c r="R35" s="86" t="s">
        <v>48</v>
      </c>
      <c r="S35" s="87"/>
      <c r="T35" s="87"/>
      <c r="U35" s="87"/>
      <c r="V35" s="88"/>
      <c r="W35" s="77">
        <f>($W$33-$G$23)/($P$21*9.80655/100000)-1</f>
        <v>6.7653017765028141</v>
      </c>
      <c r="X35" s="78"/>
      <c r="Y35" s="78"/>
      <c r="Z35" s="78"/>
      <c r="AA35" s="79"/>
    </row>
    <row r="36" spans="2:27" x14ac:dyDescent="0.25">
      <c r="B36" s="63" t="s">
        <v>44</v>
      </c>
      <c r="C36" s="64"/>
      <c r="D36" s="64"/>
      <c r="E36" s="64"/>
      <c r="F36" s="64"/>
      <c r="G36" s="64"/>
      <c r="H36" s="64"/>
      <c r="I36" s="64"/>
      <c r="J36" s="28" t="s">
        <v>24</v>
      </c>
      <c r="K36" s="28"/>
      <c r="L36" s="29"/>
      <c r="M36" s="69">
        <f>$V$19+$N$13</f>
        <v>0.95</v>
      </c>
      <c r="N36" s="70"/>
      <c r="O36" s="70"/>
      <c r="P36" s="70"/>
      <c r="Q36" s="71"/>
      <c r="R36" s="89"/>
      <c r="S36" s="90"/>
      <c r="T36" s="90"/>
      <c r="U36" s="90"/>
      <c r="V36" s="91"/>
      <c r="W36" s="80"/>
      <c r="X36" s="81"/>
      <c r="Y36" s="81"/>
      <c r="Z36" s="81"/>
      <c r="AA36" s="82"/>
    </row>
    <row r="37" spans="2:27" x14ac:dyDescent="0.25">
      <c r="B37" s="67" t="s">
        <v>45</v>
      </c>
      <c r="C37" s="68"/>
      <c r="D37" s="68"/>
      <c r="E37" s="68"/>
      <c r="F37" s="68"/>
      <c r="G37" s="68"/>
      <c r="H37" s="68"/>
      <c r="I37" s="68"/>
      <c r="J37" s="65" t="s">
        <v>24</v>
      </c>
      <c r="K37" s="65"/>
      <c r="L37" s="66"/>
      <c r="M37" s="23">
        <f>M33+M34+M35+M36</f>
        <v>14.80016050325</v>
      </c>
      <c r="N37" s="24"/>
      <c r="O37" s="24"/>
      <c r="P37" s="24"/>
      <c r="Q37" s="25"/>
      <c r="R37" s="92" t="s">
        <v>49</v>
      </c>
      <c r="S37" s="65"/>
      <c r="T37" s="65"/>
      <c r="U37" s="65"/>
      <c r="V37" s="65"/>
      <c r="W37" s="23">
        <f>W35</f>
        <v>6.7653017765028141</v>
      </c>
      <c r="X37" s="24"/>
      <c r="Y37" s="24"/>
      <c r="Z37" s="24"/>
      <c r="AA37" s="25"/>
    </row>
    <row r="38" spans="2:27" x14ac:dyDescent="0.25">
      <c r="B38" s="45" t="s">
        <v>50</v>
      </c>
      <c r="C38" s="46"/>
      <c r="D38" s="46"/>
      <c r="E38" s="46"/>
      <c r="F38" s="46"/>
      <c r="G38" s="46"/>
      <c r="H38" s="46"/>
      <c r="I38" s="46"/>
      <c r="J38" s="46"/>
      <c r="K38" s="46"/>
      <c r="L38" s="47"/>
      <c r="M38" s="48" t="s">
        <v>32</v>
      </c>
      <c r="N38" s="49"/>
      <c r="O38" s="49"/>
      <c r="P38" s="49"/>
      <c r="Q38" s="50"/>
      <c r="R38" s="48" t="s">
        <v>29</v>
      </c>
      <c r="S38" s="49"/>
      <c r="T38" s="49"/>
      <c r="U38" s="49"/>
      <c r="V38" s="50"/>
      <c r="W38" s="48" t="s">
        <v>30</v>
      </c>
      <c r="X38" s="49"/>
      <c r="Y38" s="49"/>
      <c r="Z38" s="49"/>
      <c r="AA38" s="50"/>
    </row>
    <row r="39" spans="2:27" x14ac:dyDescent="0.25">
      <c r="B39" s="63" t="s">
        <v>63</v>
      </c>
      <c r="C39" s="64"/>
      <c r="D39" s="64"/>
      <c r="E39" s="64"/>
      <c r="F39" s="64"/>
      <c r="G39" s="64"/>
      <c r="H39" s="64"/>
      <c r="I39" s="64"/>
      <c r="J39" s="28" t="s">
        <v>51</v>
      </c>
      <c r="K39" s="28"/>
      <c r="L39" s="29"/>
      <c r="M39" s="23">
        <f>($M$37-M31)/($P$21*9.80655/100000)</f>
        <v>192.4748995221654</v>
      </c>
      <c r="N39" s="24"/>
      <c r="O39" s="24"/>
      <c r="P39" s="24"/>
      <c r="Q39" s="25"/>
      <c r="R39" s="30">
        <f t="shared" ref="R39" si="7">($M$37-R31)/($P$21*9.80655/100000)</f>
        <v>187.77489952216538</v>
      </c>
      <c r="S39" s="31"/>
      <c r="T39" s="31"/>
      <c r="U39" s="31"/>
      <c r="V39" s="32"/>
      <c r="W39" s="30">
        <f>($M$37-W31)/($P$21*9.80655/100000)</f>
        <v>162.3344156804288</v>
      </c>
      <c r="X39" s="31"/>
      <c r="Y39" s="31"/>
      <c r="Z39" s="31"/>
      <c r="AA39" s="32"/>
    </row>
    <row r="40" spans="2:27" x14ac:dyDescent="0.25">
      <c r="B40" s="26" t="s">
        <v>52</v>
      </c>
      <c r="C40" s="27"/>
      <c r="D40" s="27"/>
      <c r="E40" s="27"/>
      <c r="F40" s="27"/>
      <c r="G40" s="27"/>
      <c r="H40" s="27"/>
      <c r="I40" s="27"/>
      <c r="J40" s="28" t="s">
        <v>53</v>
      </c>
      <c r="K40" s="28"/>
      <c r="L40" s="29"/>
      <c r="M40" s="23">
        <f>$M$37-M31</f>
        <v>10.381330992500001</v>
      </c>
      <c r="N40" s="24"/>
      <c r="O40" s="24"/>
      <c r="P40" s="24"/>
      <c r="Q40" s="25"/>
      <c r="R40" s="30">
        <f t="shared" ref="R40" si="8">$M$37-R31</f>
        <v>10.127831674999999</v>
      </c>
      <c r="S40" s="31"/>
      <c r="T40" s="31"/>
      <c r="U40" s="31"/>
      <c r="V40" s="32"/>
      <c r="W40" s="30">
        <f t="shared" ref="W40" si="9">$M$37-W31</f>
        <v>8.7556731024999994</v>
      </c>
      <c r="X40" s="31"/>
      <c r="Y40" s="31"/>
      <c r="Z40" s="31"/>
      <c r="AA40" s="32"/>
    </row>
    <row r="41" spans="2:27" x14ac:dyDescent="0.25">
      <c r="B41" s="35" t="s">
        <v>54</v>
      </c>
      <c r="C41" s="36"/>
      <c r="D41" s="36"/>
      <c r="E41" s="36"/>
      <c r="F41" s="36"/>
      <c r="G41" s="36"/>
      <c r="H41" s="36"/>
      <c r="I41" s="36"/>
      <c r="J41" s="39" t="s">
        <v>24</v>
      </c>
      <c r="K41" s="39"/>
      <c r="L41" s="40"/>
      <c r="M41" s="30">
        <f>R40*G22+R31</f>
        <v>16.825726838249999</v>
      </c>
      <c r="N41" s="31"/>
      <c r="O41" s="31"/>
      <c r="P41" s="31"/>
      <c r="Q41" s="32"/>
      <c r="R41" s="30" t="s">
        <v>55</v>
      </c>
      <c r="S41" s="31"/>
      <c r="T41" s="31"/>
      <c r="U41" s="31"/>
      <c r="V41" s="31"/>
      <c r="W41" s="31"/>
      <c r="X41" s="31"/>
      <c r="Y41" s="31"/>
      <c r="Z41" s="31"/>
      <c r="AA41" s="32"/>
    </row>
    <row r="42" spans="2:27" x14ac:dyDescent="0.25">
      <c r="B42" s="37"/>
      <c r="C42" s="38"/>
      <c r="D42" s="38"/>
      <c r="E42" s="38"/>
      <c r="F42" s="38"/>
      <c r="G42" s="38"/>
      <c r="H42" s="38"/>
      <c r="I42" s="38"/>
      <c r="J42" s="41"/>
      <c r="K42" s="41"/>
      <c r="L42" s="42"/>
      <c r="M42" s="23">
        <f>G22*M40+W31</f>
        <v>18.502084591749998</v>
      </c>
      <c r="N42" s="24"/>
      <c r="O42" s="24"/>
      <c r="P42" s="24"/>
      <c r="Q42" s="25"/>
      <c r="R42" s="30" t="s">
        <v>56</v>
      </c>
      <c r="S42" s="31"/>
      <c r="T42" s="31"/>
      <c r="U42" s="31"/>
      <c r="V42" s="31"/>
      <c r="W42" s="31"/>
      <c r="X42" s="31"/>
      <c r="Y42" s="31"/>
      <c r="Z42" s="31"/>
      <c r="AA42" s="32"/>
    </row>
    <row r="43" spans="2:27" x14ac:dyDescent="0.25">
      <c r="B43" s="45" t="s">
        <v>58</v>
      </c>
      <c r="C43" s="46"/>
      <c r="D43" s="46"/>
      <c r="E43" s="46"/>
      <c r="F43" s="46"/>
      <c r="G43" s="46"/>
      <c r="H43" s="46"/>
      <c r="I43" s="46"/>
      <c r="J43" s="46"/>
      <c r="K43" s="46"/>
      <c r="L43" s="46"/>
      <c r="M43" s="46"/>
      <c r="N43" s="46"/>
      <c r="O43" s="46"/>
      <c r="P43" s="46"/>
      <c r="Q43" s="46"/>
      <c r="R43" s="46"/>
      <c r="S43" s="46"/>
      <c r="T43" s="46"/>
      <c r="U43" s="46"/>
      <c r="V43" s="46"/>
      <c r="W43" s="46"/>
      <c r="X43" s="46"/>
      <c r="Y43" s="46"/>
      <c r="Z43" s="46"/>
      <c r="AA43" s="47"/>
    </row>
    <row r="44" spans="2:27" x14ac:dyDescent="0.25">
      <c r="B44" s="26" t="s">
        <v>64</v>
      </c>
      <c r="C44" s="27"/>
      <c r="D44" s="27"/>
      <c r="E44" s="27"/>
      <c r="F44" s="27"/>
      <c r="G44" s="27"/>
      <c r="H44" s="27"/>
      <c r="I44" s="27"/>
      <c r="J44" s="28" t="s">
        <v>65</v>
      </c>
      <c r="K44" s="28"/>
      <c r="L44" s="29"/>
      <c r="M44" s="102">
        <f>INDEX(Calculations!C4:O14,VLOOKUP(Pump1!M39,Calculations!A4:B14,2,TRUE),HLOOKUP(Pump1!P23*(1+$P$24),Calculations!C1:O2,2,TRUE))</f>
        <v>0.72</v>
      </c>
      <c r="N44" s="103"/>
      <c r="O44" s="103"/>
      <c r="P44" s="103"/>
      <c r="Q44" s="104"/>
      <c r="R44" s="33" t="s">
        <v>66</v>
      </c>
      <c r="S44" s="34"/>
      <c r="T44" s="34"/>
      <c r="U44" s="34"/>
      <c r="V44" s="34"/>
      <c r="W44" s="105">
        <f>M44</f>
        <v>0.72</v>
      </c>
      <c r="X44" s="96"/>
      <c r="Y44" s="96"/>
      <c r="Z44" s="96"/>
      <c r="AA44" s="97"/>
    </row>
    <row r="45" spans="2:27" x14ac:dyDescent="0.25">
      <c r="B45" s="26" t="s">
        <v>60</v>
      </c>
      <c r="C45" s="27"/>
      <c r="D45" s="27"/>
      <c r="E45" s="27"/>
      <c r="F45" s="27"/>
      <c r="G45" s="27"/>
      <c r="H45" s="27"/>
      <c r="I45" s="27"/>
      <c r="J45" s="28" t="s">
        <v>57</v>
      </c>
      <c r="K45" s="28"/>
      <c r="L45" s="29"/>
      <c r="M45" s="30">
        <f>($P$23)*$M$40/36</f>
        <v>43.255545802083333</v>
      </c>
      <c r="N45" s="31"/>
      <c r="O45" s="31"/>
      <c r="P45" s="31"/>
      <c r="Q45" s="32"/>
      <c r="R45" s="33" t="s">
        <v>59</v>
      </c>
      <c r="S45" s="34"/>
      <c r="T45" s="34"/>
      <c r="U45" s="34"/>
      <c r="V45" s="34"/>
      <c r="W45" s="23">
        <f>($P$23*(1+$P$24))*$M$40/36</f>
        <v>47.581100382291673</v>
      </c>
      <c r="X45" s="24"/>
      <c r="Y45" s="24"/>
      <c r="Z45" s="24"/>
      <c r="AA45" s="25"/>
    </row>
    <row r="46" spans="2:27" x14ac:dyDescent="0.25">
      <c r="B46" s="26" t="s">
        <v>62</v>
      </c>
      <c r="C46" s="27"/>
      <c r="D46" s="27"/>
      <c r="E46" s="27"/>
      <c r="F46" s="27"/>
      <c r="G46" s="27"/>
      <c r="H46" s="27"/>
      <c r="I46" s="27"/>
      <c r="J46" s="28" t="s">
        <v>57</v>
      </c>
      <c r="K46" s="28"/>
      <c r="L46" s="29"/>
      <c r="M46" s="30">
        <f>($P$23)*$M$40/$W$44/36</f>
        <v>60.077146947337965</v>
      </c>
      <c r="N46" s="31"/>
      <c r="O46" s="31"/>
      <c r="P46" s="31"/>
      <c r="Q46" s="32"/>
      <c r="R46" s="33" t="s">
        <v>59</v>
      </c>
      <c r="S46" s="34"/>
      <c r="T46" s="34"/>
      <c r="U46" s="34"/>
      <c r="V46" s="34"/>
      <c r="W46" s="23">
        <f>($P$23*(1+$P$24))*$M$40/$W$44/36</f>
        <v>66.084861642071758</v>
      </c>
      <c r="X46" s="24"/>
      <c r="Y46" s="24"/>
      <c r="Z46" s="24"/>
      <c r="AA46" s="25"/>
    </row>
    <row r="47" spans="2:27" x14ac:dyDescent="0.25">
      <c r="B47" s="26" t="s">
        <v>61</v>
      </c>
      <c r="C47" s="27"/>
      <c r="D47" s="27"/>
      <c r="E47" s="27"/>
      <c r="F47" s="27"/>
      <c r="G47" s="27"/>
      <c r="H47" s="27"/>
      <c r="I47" s="27"/>
      <c r="J47" s="28" t="s">
        <v>57</v>
      </c>
      <c r="K47" s="28"/>
      <c r="L47" s="29"/>
      <c r="M47" s="30">
        <f>M46*1.1</f>
        <v>66.084861642071772</v>
      </c>
      <c r="N47" s="31"/>
      <c r="O47" s="31"/>
      <c r="P47" s="31"/>
      <c r="Q47" s="32"/>
      <c r="R47" s="33" t="s">
        <v>59</v>
      </c>
      <c r="S47" s="34"/>
      <c r="T47" s="34"/>
      <c r="U47" s="34"/>
      <c r="V47" s="34"/>
      <c r="W47" s="23">
        <f>W46*1.1</f>
        <v>72.693347806278936</v>
      </c>
      <c r="X47" s="24"/>
      <c r="Y47" s="24"/>
      <c r="Z47" s="24"/>
      <c r="AA47" s="25"/>
    </row>
    <row r="48" spans="2:27" x14ac:dyDescent="0.25">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5">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5">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x14ac:dyDescent="0.25">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2:27" x14ac:dyDescent="0.2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2:27" x14ac:dyDescent="0.2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2:27" x14ac:dyDescent="0.2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2:27" x14ac:dyDescent="0.25">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2:27" x14ac:dyDescent="0.25">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2:27" x14ac:dyDescent="0.25">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2:27" x14ac:dyDescent="0.25">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2:27" x14ac:dyDescent="0.25">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2:27" x14ac:dyDescent="0.25">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2:27" x14ac:dyDescent="0.25">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sheetData>
  <mergeCells count="129">
    <mergeCell ref="B44:I44"/>
    <mergeCell ref="J44:L44"/>
    <mergeCell ref="M44:Q44"/>
    <mergeCell ref="R44:V44"/>
    <mergeCell ref="W44:AA44"/>
    <mergeCell ref="B1:AA3"/>
    <mergeCell ref="B4:D4"/>
    <mergeCell ref="E4:I4"/>
    <mergeCell ref="J4:L4"/>
    <mergeCell ref="X7:Z7"/>
    <mergeCell ref="N13:P13"/>
    <mergeCell ref="M18:O18"/>
    <mergeCell ref="B7:E7"/>
    <mergeCell ref="C9:E9"/>
    <mergeCell ref="M4:R4"/>
    <mergeCell ref="K7:M7"/>
    <mergeCell ref="V16:X16"/>
    <mergeCell ref="Q7:S7"/>
    <mergeCell ref="S4:U4"/>
    <mergeCell ref="V4:AA4"/>
    <mergeCell ref="G18:I18"/>
    <mergeCell ref="V13:X13"/>
    <mergeCell ref="G22:I22"/>
    <mergeCell ref="C10:E10"/>
    <mergeCell ref="C11:E11"/>
    <mergeCell ref="G21:I21"/>
    <mergeCell ref="B20:AA20"/>
    <mergeCell ref="P21:R21"/>
    <mergeCell ref="P22:R22"/>
    <mergeCell ref="B15:D15"/>
    <mergeCell ref="K10:M10"/>
    <mergeCell ref="Y22:AA22"/>
    <mergeCell ref="Y23:AA23"/>
    <mergeCell ref="B25:AA25"/>
    <mergeCell ref="V19:X19"/>
    <mergeCell ref="J27:L27"/>
    <mergeCell ref="J28:L28"/>
    <mergeCell ref="P23:R23"/>
    <mergeCell ref="P24:R24"/>
    <mergeCell ref="Y21:AA21"/>
    <mergeCell ref="R31:V31"/>
    <mergeCell ref="W31:AA31"/>
    <mergeCell ref="W26:AA26"/>
    <mergeCell ref="W27:AA27"/>
    <mergeCell ref="W28:AA28"/>
    <mergeCell ref="W29:AA29"/>
    <mergeCell ref="G23:I23"/>
    <mergeCell ref="J30:L30"/>
    <mergeCell ref="M30:Q30"/>
    <mergeCell ref="R30:V30"/>
    <mergeCell ref="W30:AA30"/>
    <mergeCell ref="M26:Q26"/>
    <mergeCell ref="M27:Q27"/>
    <mergeCell ref="M28:Q28"/>
    <mergeCell ref="M29:Q29"/>
    <mergeCell ref="R26:V26"/>
    <mergeCell ref="R27:V27"/>
    <mergeCell ref="B39:I39"/>
    <mergeCell ref="J34:L34"/>
    <mergeCell ref="M34:Q34"/>
    <mergeCell ref="W33:AA34"/>
    <mergeCell ref="J39:L39"/>
    <mergeCell ref="M39:Q39"/>
    <mergeCell ref="B28:I28"/>
    <mergeCell ref="B29:I29"/>
    <mergeCell ref="B30:I30"/>
    <mergeCell ref="B31:I31"/>
    <mergeCell ref="B33:I33"/>
    <mergeCell ref="B34:I34"/>
    <mergeCell ref="R28:V28"/>
    <mergeCell ref="R29:V29"/>
    <mergeCell ref="J29:L29"/>
    <mergeCell ref="W37:AA37"/>
    <mergeCell ref="R35:V36"/>
    <mergeCell ref="W35:AA36"/>
    <mergeCell ref="J35:L35"/>
    <mergeCell ref="M35:Q35"/>
    <mergeCell ref="R37:V37"/>
    <mergeCell ref="B27:I27"/>
    <mergeCell ref="J37:L37"/>
    <mergeCell ref="M37:Q37"/>
    <mergeCell ref="B35:I35"/>
    <mergeCell ref="B36:I36"/>
    <mergeCell ref="B37:I37"/>
    <mergeCell ref="J36:L36"/>
    <mergeCell ref="M36:Q36"/>
    <mergeCell ref="J33:L33"/>
    <mergeCell ref="M33:Q33"/>
    <mergeCell ref="J31:L31"/>
    <mergeCell ref="M31:Q31"/>
    <mergeCell ref="M42:Q42"/>
    <mergeCell ref="B41:I42"/>
    <mergeCell ref="J41:L42"/>
    <mergeCell ref="G24:I24"/>
    <mergeCell ref="Y24:AA24"/>
    <mergeCell ref="B43:AA43"/>
    <mergeCell ref="R41:AA41"/>
    <mergeCell ref="R42:AA42"/>
    <mergeCell ref="B38:L38"/>
    <mergeCell ref="M38:Q38"/>
    <mergeCell ref="R38:V38"/>
    <mergeCell ref="W38:AA38"/>
    <mergeCell ref="R39:V39"/>
    <mergeCell ref="W39:AA39"/>
    <mergeCell ref="R40:V40"/>
    <mergeCell ref="W40:AA40"/>
    <mergeCell ref="M41:Q41"/>
    <mergeCell ref="B40:I40"/>
    <mergeCell ref="J40:L40"/>
    <mergeCell ref="M40:Q40"/>
    <mergeCell ref="B26:L26"/>
    <mergeCell ref="B32:Q32"/>
    <mergeCell ref="R32:AA32"/>
    <mergeCell ref="R33:V34"/>
    <mergeCell ref="W47:AA47"/>
    <mergeCell ref="B45:I45"/>
    <mergeCell ref="J45:L45"/>
    <mergeCell ref="M45:Q45"/>
    <mergeCell ref="R45:V45"/>
    <mergeCell ref="W45:AA45"/>
    <mergeCell ref="B47:I47"/>
    <mergeCell ref="J47:L47"/>
    <mergeCell ref="M47:Q47"/>
    <mergeCell ref="R47:V47"/>
    <mergeCell ref="B46:I46"/>
    <mergeCell ref="J46:L46"/>
    <mergeCell ref="W46:AA46"/>
    <mergeCell ref="R46:V46"/>
    <mergeCell ref="M46:Q4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O21"/>
  <sheetViews>
    <sheetView workbookViewId="0">
      <selection activeCell="F19" sqref="F19"/>
    </sheetView>
  </sheetViews>
  <sheetFormatPr defaultRowHeight="15" x14ac:dyDescent="0.25"/>
  <cols>
    <col min="5" max="5" width="9.7109375" bestFit="1" customWidth="1"/>
  </cols>
  <sheetData>
    <row r="1" spans="1:15" x14ac:dyDescent="0.25">
      <c r="B1" t="s">
        <v>68</v>
      </c>
      <c r="C1" s="16">
        <v>10</v>
      </c>
      <c r="D1" s="16">
        <v>20</v>
      </c>
      <c r="E1" s="16">
        <v>40</v>
      </c>
      <c r="F1" s="16">
        <v>60</v>
      </c>
      <c r="G1" s="16">
        <v>80</v>
      </c>
      <c r="H1" s="16">
        <v>100</v>
      </c>
      <c r="I1" s="16">
        <v>200</v>
      </c>
      <c r="J1" s="16">
        <v>400</v>
      </c>
      <c r="K1" s="16">
        <v>600</v>
      </c>
      <c r="L1" s="16">
        <v>800</v>
      </c>
      <c r="M1" s="16">
        <v>1000</v>
      </c>
      <c r="N1" s="16">
        <v>2000</v>
      </c>
      <c r="O1" s="18">
        <v>4000</v>
      </c>
    </row>
    <row r="2" spans="1:15" x14ac:dyDescent="0.25">
      <c r="A2" t="s">
        <v>67</v>
      </c>
      <c r="C2">
        <v>1</v>
      </c>
      <c r="D2">
        <v>2</v>
      </c>
      <c r="E2">
        <v>3</v>
      </c>
      <c r="F2">
        <v>4</v>
      </c>
      <c r="G2">
        <v>5</v>
      </c>
      <c r="H2">
        <v>6</v>
      </c>
      <c r="I2">
        <v>7</v>
      </c>
      <c r="J2">
        <v>8</v>
      </c>
      <c r="K2">
        <v>9</v>
      </c>
      <c r="L2">
        <v>10</v>
      </c>
      <c r="M2">
        <v>11</v>
      </c>
      <c r="N2">
        <v>12</v>
      </c>
      <c r="O2" s="19">
        <v>13</v>
      </c>
    </row>
    <row r="3" spans="1:15" x14ac:dyDescent="0.25">
      <c r="A3" s="15">
        <v>1</v>
      </c>
      <c r="B3" s="15"/>
      <c r="C3" s="16">
        <v>10</v>
      </c>
      <c r="D3" s="16">
        <v>20</v>
      </c>
      <c r="E3" s="16">
        <v>40</v>
      </c>
      <c r="F3" s="16">
        <v>60</v>
      </c>
      <c r="G3" s="16">
        <v>80</v>
      </c>
      <c r="H3" s="16">
        <v>100</v>
      </c>
      <c r="I3" s="16">
        <v>200</v>
      </c>
      <c r="J3" s="16">
        <v>400</v>
      </c>
      <c r="K3" s="16">
        <v>600</v>
      </c>
      <c r="L3" s="16">
        <v>800</v>
      </c>
      <c r="M3" s="16">
        <v>1000</v>
      </c>
      <c r="N3" s="16">
        <v>2000</v>
      </c>
      <c r="O3" s="18">
        <v>2000</v>
      </c>
    </row>
    <row r="4" spans="1:15" x14ac:dyDescent="0.25">
      <c r="A4" s="16">
        <v>10</v>
      </c>
      <c r="B4">
        <v>1</v>
      </c>
      <c r="C4" s="15">
        <v>0.6</v>
      </c>
      <c r="D4" s="15">
        <v>0.72</v>
      </c>
      <c r="E4" s="15">
        <v>0.8</v>
      </c>
      <c r="F4" s="15">
        <v>0.81</v>
      </c>
      <c r="G4" s="15">
        <v>0.81</v>
      </c>
      <c r="H4" s="15">
        <v>0.81</v>
      </c>
      <c r="I4" s="15">
        <v>0.82499999999999996</v>
      </c>
      <c r="J4" s="15">
        <v>0.83</v>
      </c>
      <c r="K4" s="15">
        <v>0.84</v>
      </c>
      <c r="L4" s="15">
        <v>0.84199999999999997</v>
      </c>
      <c r="M4" s="15">
        <v>0.84399999999999997</v>
      </c>
      <c r="N4" s="15">
        <v>0.84499999999999997</v>
      </c>
      <c r="O4" s="20">
        <v>0.84499999999999997</v>
      </c>
    </row>
    <row r="5" spans="1:15" x14ac:dyDescent="0.25">
      <c r="A5" s="16">
        <v>20</v>
      </c>
      <c r="B5">
        <v>2</v>
      </c>
      <c r="C5" s="15">
        <v>0.55000000000000004</v>
      </c>
      <c r="D5" s="15">
        <v>0.69</v>
      </c>
      <c r="E5" s="15">
        <v>0.77</v>
      </c>
      <c r="F5" s="15">
        <v>0.8</v>
      </c>
      <c r="G5" s="15">
        <v>0.81</v>
      </c>
      <c r="H5" s="15">
        <v>0.82</v>
      </c>
      <c r="I5" s="15">
        <v>0.82499999999999996</v>
      </c>
      <c r="J5" s="15">
        <v>0.83499999999999996</v>
      </c>
      <c r="K5" s="15">
        <v>0.84</v>
      </c>
      <c r="L5" s="15">
        <v>0.84199999999999997</v>
      </c>
      <c r="M5" s="15">
        <v>0.84399999999999997</v>
      </c>
      <c r="N5" s="15">
        <v>0.85</v>
      </c>
      <c r="O5" s="20">
        <v>0.84499999999999997</v>
      </c>
    </row>
    <row r="6" spans="1:15" x14ac:dyDescent="0.25">
      <c r="A6" s="16">
        <v>30</v>
      </c>
      <c r="B6">
        <v>3</v>
      </c>
      <c r="C6" s="15">
        <v>0.5</v>
      </c>
      <c r="D6" s="15">
        <v>0.65</v>
      </c>
      <c r="E6" s="15">
        <v>0.74</v>
      </c>
      <c r="F6" s="15">
        <v>0.77</v>
      </c>
      <c r="G6" s="15">
        <v>0.81</v>
      </c>
      <c r="H6" s="22">
        <v>0.81</v>
      </c>
      <c r="I6" s="22">
        <v>0.82499999999999996</v>
      </c>
      <c r="J6" s="22">
        <v>0.83499999999999996</v>
      </c>
      <c r="K6" s="22">
        <v>0.84499999999999997</v>
      </c>
      <c r="L6" s="22">
        <v>0.84499999999999997</v>
      </c>
      <c r="M6" s="22">
        <v>0.84699999999999998</v>
      </c>
      <c r="N6" s="22">
        <v>0.85</v>
      </c>
      <c r="O6" s="20">
        <v>0.84699999999999998</v>
      </c>
    </row>
    <row r="7" spans="1:15" x14ac:dyDescent="0.25">
      <c r="A7" s="16">
        <v>40</v>
      </c>
      <c r="B7">
        <v>4</v>
      </c>
      <c r="C7" s="15">
        <v>0.45</v>
      </c>
      <c r="D7" s="15">
        <v>0.6</v>
      </c>
      <c r="E7" s="15">
        <v>0.71</v>
      </c>
      <c r="F7" s="15">
        <v>0.76</v>
      </c>
      <c r="G7" s="15">
        <v>0.78</v>
      </c>
      <c r="H7" s="22">
        <v>0.80500000000000005</v>
      </c>
      <c r="I7" s="22">
        <v>0.82499999999999996</v>
      </c>
      <c r="J7" s="22">
        <v>0.84</v>
      </c>
      <c r="K7" s="22">
        <v>0.84499999999999997</v>
      </c>
      <c r="L7" s="22">
        <v>0.85</v>
      </c>
      <c r="M7" s="22">
        <v>0.85</v>
      </c>
      <c r="N7" s="22">
        <v>0.85</v>
      </c>
      <c r="O7" s="20">
        <v>0.85</v>
      </c>
    </row>
    <row r="8" spans="1:15" x14ac:dyDescent="0.25">
      <c r="A8" s="16">
        <v>50</v>
      </c>
      <c r="B8">
        <v>5</v>
      </c>
      <c r="C8" s="15">
        <v>0.4</v>
      </c>
      <c r="D8" s="15">
        <v>0.55000000000000004</v>
      </c>
      <c r="E8" s="15">
        <v>0.68</v>
      </c>
      <c r="F8" s="15">
        <v>0.74</v>
      </c>
      <c r="G8" s="15">
        <v>0.76</v>
      </c>
      <c r="H8" s="22">
        <v>0.8</v>
      </c>
      <c r="I8" s="22">
        <v>0.82499999999999996</v>
      </c>
      <c r="J8" s="22">
        <v>0.84</v>
      </c>
      <c r="K8" s="22">
        <v>0.85</v>
      </c>
      <c r="L8" s="22">
        <v>0.85</v>
      </c>
      <c r="M8" s="22">
        <v>0.85499999999999998</v>
      </c>
      <c r="N8" s="22">
        <v>0.86</v>
      </c>
      <c r="O8" s="20">
        <v>0.85499999999999998</v>
      </c>
    </row>
    <row r="9" spans="1:15" x14ac:dyDescent="0.25">
      <c r="A9" s="16">
        <v>60</v>
      </c>
      <c r="B9">
        <v>6</v>
      </c>
      <c r="C9" s="15">
        <v>0.35</v>
      </c>
      <c r="D9" s="15">
        <v>0.5</v>
      </c>
      <c r="E9" s="15">
        <v>0.65</v>
      </c>
      <c r="F9" s="15">
        <v>0.72</v>
      </c>
      <c r="G9" s="15">
        <v>0.75</v>
      </c>
      <c r="H9" s="22">
        <v>0.77</v>
      </c>
      <c r="I9" s="22">
        <v>0.82499999999999996</v>
      </c>
      <c r="J9" s="22">
        <v>0.84</v>
      </c>
      <c r="K9" s="22">
        <v>0.85</v>
      </c>
      <c r="L9" s="22">
        <v>0.85499999999999998</v>
      </c>
      <c r="M9" s="22">
        <v>0.86</v>
      </c>
      <c r="N9" s="22">
        <v>0.86</v>
      </c>
      <c r="O9" s="20">
        <v>0.86</v>
      </c>
    </row>
    <row r="10" spans="1:15" x14ac:dyDescent="0.25">
      <c r="A10" s="16">
        <v>80</v>
      </c>
      <c r="B10">
        <v>7</v>
      </c>
      <c r="C10" s="15">
        <v>0.3</v>
      </c>
      <c r="D10" s="15">
        <v>0.47</v>
      </c>
      <c r="E10" s="15">
        <v>0.61</v>
      </c>
      <c r="F10" s="15">
        <v>0.67</v>
      </c>
      <c r="G10" s="15">
        <v>0.72</v>
      </c>
      <c r="H10" s="22">
        <v>0.75</v>
      </c>
      <c r="I10" s="22">
        <v>0.82</v>
      </c>
      <c r="J10" s="22">
        <v>0.84</v>
      </c>
      <c r="K10" s="22">
        <v>0.85</v>
      </c>
      <c r="L10" s="22">
        <v>0.86</v>
      </c>
      <c r="M10" s="22">
        <v>0.86499999999999999</v>
      </c>
      <c r="N10" s="22">
        <v>0.87</v>
      </c>
      <c r="O10" s="20">
        <v>0.87</v>
      </c>
    </row>
    <row r="11" spans="1:15" x14ac:dyDescent="0.25">
      <c r="A11" s="16">
        <v>100</v>
      </c>
      <c r="B11">
        <v>8</v>
      </c>
      <c r="C11" s="15">
        <v>0.2</v>
      </c>
      <c r="D11" s="15">
        <v>0.4</v>
      </c>
      <c r="E11" s="15">
        <v>0.56000000000000005</v>
      </c>
      <c r="F11" s="15">
        <v>0.64</v>
      </c>
      <c r="G11" s="15">
        <v>0.68</v>
      </c>
      <c r="H11" s="22">
        <v>0.72</v>
      </c>
      <c r="I11" s="22">
        <v>0.8</v>
      </c>
      <c r="J11" s="22">
        <v>0.83</v>
      </c>
      <c r="K11" s="22">
        <v>0.85</v>
      </c>
      <c r="L11" s="22">
        <v>0.86</v>
      </c>
      <c r="M11" s="22">
        <v>0.86499999999999999</v>
      </c>
      <c r="N11" s="22">
        <v>0.87</v>
      </c>
      <c r="O11" s="20">
        <v>0.87</v>
      </c>
    </row>
    <row r="12" spans="1:15" x14ac:dyDescent="0.25">
      <c r="A12" s="16">
        <v>200</v>
      </c>
      <c r="B12">
        <v>9</v>
      </c>
      <c r="C12" s="15">
        <v>0.1</v>
      </c>
      <c r="D12" s="15">
        <v>0.1</v>
      </c>
      <c r="E12" s="15">
        <v>0.38</v>
      </c>
      <c r="F12" s="15">
        <v>0.48</v>
      </c>
      <c r="G12" s="15">
        <v>0.55000000000000004</v>
      </c>
      <c r="H12" s="22">
        <v>0.6</v>
      </c>
      <c r="I12" s="22">
        <v>0.72</v>
      </c>
      <c r="J12" s="22">
        <v>0.78</v>
      </c>
      <c r="K12" s="22">
        <v>0.81</v>
      </c>
      <c r="L12" s="22">
        <v>0.83</v>
      </c>
      <c r="M12" s="22">
        <v>0.85</v>
      </c>
      <c r="N12" s="22">
        <v>0.87</v>
      </c>
      <c r="O12" s="20">
        <v>0.87</v>
      </c>
    </row>
    <row r="13" spans="1:15" x14ac:dyDescent="0.25">
      <c r="A13" s="16">
        <v>400</v>
      </c>
      <c r="B13">
        <v>10</v>
      </c>
      <c r="C13" s="15">
        <v>0.01</v>
      </c>
      <c r="D13" s="15">
        <v>0.02</v>
      </c>
      <c r="E13" s="15">
        <v>0.05</v>
      </c>
      <c r="F13" s="15">
        <v>0.15</v>
      </c>
      <c r="G13" s="15">
        <v>0.2</v>
      </c>
      <c r="H13" s="22">
        <v>0.35</v>
      </c>
      <c r="I13" s="22">
        <v>0.55000000000000004</v>
      </c>
      <c r="J13" s="22">
        <v>0.7</v>
      </c>
      <c r="K13" s="22">
        <v>0.72</v>
      </c>
      <c r="L13" s="22">
        <v>0.75</v>
      </c>
      <c r="M13" s="22">
        <v>0.77</v>
      </c>
      <c r="N13" s="22">
        <v>0.82</v>
      </c>
      <c r="O13" s="20">
        <v>0.82</v>
      </c>
    </row>
    <row r="14" spans="1:15" x14ac:dyDescent="0.25">
      <c r="A14" s="21">
        <v>1000</v>
      </c>
      <c r="B14" s="19">
        <v>11</v>
      </c>
      <c r="C14" s="20">
        <v>0.01</v>
      </c>
      <c r="D14" s="20">
        <v>0.01</v>
      </c>
      <c r="E14" s="20">
        <v>0.02</v>
      </c>
      <c r="F14" s="20">
        <v>7.0000000000000007E-2</v>
      </c>
      <c r="G14" s="20">
        <v>0.1</v>
      </c>
      <c r="H14" s="20">
        <v>0.2</v>
      </c>
      <c r="I14" s="20">
        <v>0.25</v>
      </c>
      <c r="J14" s="20">
        <v>0.3</v>
      </c>
      <c r="K14" s="20">
        <v>0.35</v>
      </c>
      <c r="L14" s="20">
        <v>0.35</v>
      </c>
      <c r="M14" s="20">
        <v>0.35</v>
      </c>
      <c r="N14" s="20">
        <v>0.35</v>
      </c>
      <c r="O14" s="20">
        <v>0.35</v>
      </c>
    </row>
    <row r="18" spans="2:4" x14ac:dyDescent="0.25">
      <c r="C18" s="17"/>
    </row>
    <row r="19" spans="2:4" x14ac:dyDescent="0.25">
      <c r="B19" t="s">
        <v>69</v>
      </c>
      <c r="D19">
        <f>HLOOKUP(Pump1!P23,Calculations!C1:O2,2,TRUE)</f>
        <v>6</v>
      </c>
    </row>
    <row r="20" spans="2:4" x14ac:dyDescent="0.25">
      <c r="B20" t="s">
        <v>70</v>
      </c>
      <c r="D20">
        <f>VLOOKUP(Pump1!M39,Calculations!A4:B14,2,TRUE)</f>
        <v>8</v>
      </c>
    </row>
    <row r="21" spans="2:4" x14ac:dyDescent="0.25">
      <c r="B21" t="s">
        <v>71</v>
      </c>
      <c r="D21">
        <f>INDEX(C4:O14,D20,D19)</f>
        <v>0.72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Pump1</vt:lpstr>
      <vt:lpstr>Calculations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cp:lastPrinted>2016-04-25T18:12:55Z</cp:lastPrinted>
  <dcterms:created xsi:type="dcterms:W3CDTF">2016-04-25T13:01:42Z</dcterms:created>
  <dcterms:modified xsi:type="dcterms:W3CDTF">2016-08-20T12:52:59Z</dcterms:modified>
</cp:coreProperties>
</file>